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EBB45A94-A5AE-40AA-AA47-9974905E2B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Лист1!$A$5:$AH$5</definedName>
  </definedNames>
  <calcPr calcId="181029"/>
</workbook>
</file>

<file path=xl/calcChain.xml><?xml version="1.0" encoding="utf-8"?>
<calcChain xmlns="http://schemas.openxmlformats.org/spreadsheetml/2006/main">
  <c r="P2" i="1" l="1"/>
  <c r="U1182" i="1"/>
  <c r="P1182" i="1"/>
  <c r="U1181" i="1"/>
  <c r="P1181" i="1"/>
  <c r="U1180" i="1"/>
  <c r="P1180" i="1"/>
  <c r="U1179" i="1"/>
  <c r="P1179" i="1"/>
  <c r="U1178" i="1"/>
  <c r="P1178" i="1"/>
  <c r="U1177" i="1"/>
  <c r="P1177" i="1"/>
  <c r="U1176" i="1"/>
  <c r="P1176" i="1"/>
  <c r="U1175" i="1"/>
  <c r="P1175" i="1"/>
  <c r="U1174" i="1"/>
  <c r="P1174" i="1"/>
  <c r="U1173" i="1"/>
  <c r="P1173" i="1"/>
  <c r="U1172" i="1"/>
  <c r="P1172" i="1"/>
  <c r="U1171" i="1"/>
  <c r="P1171" i="1"/>
  <c r="U1170" i="1"/>
  <c r="P1170" i="1"/>
  <c r="U1169" i="1"/>
  <c r="P1169" i="1"/>
  <c r="U1168" i="1"/>
  <c r="P1168" i="1"/>
  <c r="U1167" i="1"/>
  <c r="P1167" i="1"/>
  <c r="U1166" i="1"/>
  <c r="P1166" i="1"/>
  <c r="U1165" i="1"/>
  <c r="P1165" i="1"/>
  <c r="U1164" i="1"/>
  <c r="P1164" i="1"/>
  <c r="U1163" i="1"/>
  <c r="P1163" i="1"/>
  <c r="U1162" i="1"/>
  <c r="P1162" i="1"/>
  <c r="U1161" i="1"/>
  <c r="P1161" i="1"/>
  <c r="U1160" i="1"/>
  <c r="P1160" i="1"/>
  <c r="U1159" i="1"/>
  <c r="P1159" i="1"/>
  <c r="U1158" i="1"/>
  <c r="P1158" i="1"/>
  <c r="U1157" i="1"/>
  <c r="P1157" i="1"/>
  <c r="U1156" i="1"/>
  <c r="P1156" i="1"/>
  <c r="U1155" i="1"/>
  <c r="P1155" i="1"/>
  <c r="U1154" i="1"/>
  <c r="P1154" i="1"/>
  <c r="U1153" i="1"/>
  <c r="P1153" i="1"/>
  <c r="U1152" i="1"/>
  <c r="P1152" i="1"/>
  <c r="U1151" i="1"/>
  <c r="P1151" i="1"/>
  <c r="U1150" i="1"/>
  <c r="P1150" i="1"/>
  <c r="U1149" i="1"/>
  <c r="P1149" i="1"/>
  <c r="U1148" i="1"/>
  <c r="P1148" i="1"/>
  <c r="U1147" i="1"/>
  <c r="P1147" i="1"/>
  <c r="U1146" i="1"/>
  <c r="P1146" i="1"/>
  <c r="U1145" i="1"/>
  <c r="P1145" i="1"/>
  <c r="U1144" i="1"/>
  <c r="P1144" i="1"/>
  <c r="U1143" i="1"/>
  <c r="P1143" i="1"/>
  <c r="U1142" i="1"/>
  <c r="P1142" i="1"/>
  <c r="U1141" i="1"/>
  <c r="P1141" i="1"/>
  <c r="U1140" i="1"/>
  <c r="P1140" i="1"/>
  <c r="U1139" i="1"/>
  <c r="P1139" i="1"/>
  <c r="U1138" i="1"/>
  <c r="P1138" i="1"/>
  <c r="U1137" i="1"/>
  <c r="P1137" i="1"/>
  <c r="U1136" i="1"/>
  <c r="P1136" i="1"/>
  <c r="U1135" i="1"/>
  <c r="P1135" i="1"/>
  <c r="U1134" i="1"/>
  <c r="P1134" i="1"/>
  <c r="U1133" i="1"/>
  <c r="P1133" i="1"/>
  <c r="U1132" i="1"/>
  <c r="P1132" i="1"/>
  <c r="U1131" i="1"/>
  <c r="P1131" i="1"/>
  <c r="U1130" i="1"/>
  <c r="P1130" i="1"/>
  <c r="U1129" i="1"/>
  <c r="P1129" i="1"/>
  <c r="U1128" i="1"/>
  <c r="P1128" i="1"/>
  <c r="U1127" i="1"/>
  <c r="P1127" i="1"/>
  <c r="U1126" i="1"/>
  <c r="P1126" i="1"/>
  <c r="U1125" i="1"/>
  <c r="P1125" i="1"/>
  <c r="U1124" i="1"/>
  <c r="P1124" i="1"/>
  <c r="U1123" i="1"/>
  <c r="P1123" i="1"/>
  <c r="U1122" i="1"/>
  <c r="P1122" i="1"/>
  <c r="U1121" i="1"/>
  <c r="P1121" i="1"/>
  <c r="U1120" i="1"/>
  <c r="P1120" i="1"/>
  <c r="U1119" i="1"/>
  <c r="P1119" i="1"/>
  <c r="U1118" i="1"/>
  <c r="P1118" i="1"/>
  <c r="U1117" i="1"/>
  <c r="P1117" i="1"/>
  <c r="U1116" i="1"/>
  <c r="P1116" i="1"/>
  <c r="U1115" i="1"/>
  <c r="P1115" i="1"/>
  <c r="U1114" i="1"/>
  <c r="P1114" i="1"/>
  <c r="U1113" i="1"/>
  <c r="P1113" i="1"/>
  <c r="U1112" i="1"/>
  <c r="P1112" i="1"/>
  <c r="U1111" i="1"/>
  <c r="P1111" i="1"/>
  <c r="U1110" i="1"/>
  <c r="P1110" i="1"/>
  <c r="U1109" i="1"/>
  <c r="P1109" i="1"/>
  <c r="U1108" i="1"/>
  <c r="P1108" i="1"/>
  <c r="U1107" i="1"/>
  <c r="P1107" i="1"/>
  <c r="U1106" i="1"/>
  <c r="P1106" i="1"/>
  <c r="U1105" i="1"/>
  <c r="P1105" i="1"/>
  <c r="U1104" i="1"/>
  <c r="P1104" i="1"/>
  <c r="U1103" i="1"/>
  <c r="P1103" i="1"/>
  <c r="U1102" i="1"/>
  <c r="P1102" i="1"/>
  <c r="U1101" i="1"/>
  <c r="P1101" i="1"/>
  <c r="U1100" i="1"/>
  <c r="P1100" i="1"/>
  <c r="U1099" i="1"/>
  <c r="P1099" i="1"/>
  <c r="U1098" i="1"/>
  <c r="P1098" i="1"/>
  <c r="U1097" i="1"/>
  <c r="P1097" i="1"/>
  <c r="U1096" i="1"/>
  <c r="P1096" i="1"/>
  <c r="U1095" i="1"/>
  <c r="P1095" i="1"/>
  <c r="U1094" i="1"/>
  <c r="P1094" i="1"/>
  <c r="U1093" i="1"/>
  <c r="P1093" i="1"/>
  <c r="U1092" i="1"/>
  <c r="P1092" i="1"/>
  <c r="U1091" i="1"/>
  <c r="P1091" i="1"/>
  <c r="U1090" i="1"/>
  <c r="P1090" i="1"/>
  <c r="U1089" i="1"/>
  <c r="P1089" i="1"/>
  <c r="U1088" i="1"/>
  <c r="P1088" i="1"/>
  <c r="U1087" i="1"/>
  <c r="P1087" i="1"/>
  <c r="U1086" i="1"/>
  <c r="P1086" i="1"/>
  <c r="U1085" i="1"/>
  <c r="P1085" i="1"/>
  <c r="U1084" i="1"/>
  <c r="P1084" i="1"/>
  <c r="U1083" i="1"/>
  <c r="P1083" i="1"/>
  <c r="U1082" i="1"/>
  <c r="P1082" i="1"/>
  <c r="U1081" i="1"/>
  <c r="P1081" i="1"/>
  <c r="U1080" i="1"/>
  <c r="P1080" i="1"/>
  <c r="U1079" i="1"/>
  <c r="P1079" i="1"/>
  <c r="U1078" i="1"/>
  <c r="P1078" i="1"/>
  <c r="U1077" i="1"/>
  <c r="P1077" i="1"/>
  <c r="U1076" i="1"/>
  <c r="P1076" i="1"/>
  <c r="U1075" i="1"/>
  <c r="P1075" i="1"/>
  <c r="U1074" i="1"/>
  <c r="P1074" i="1"/>
  <c r="U1073" i="1"/>
  <c r="P1073" i="1"/>
  <c r="U1072" i="1"/>
  <c r="P1072" i="1"/>
  <c r="U1071" i="1"/>
  <c r="P1071" i="1"/>
  <c r="U1070" i="1"/>
  <c r="P1070" i="1"/>
  <c r="U1069" i="1"/>
  <c r="P1069" i="1"/>
  <c r="U1068" i="1"/>
  <c r="P1068" i="1"/>
  <c r="U1067" i="1"/>
  <c r="P1067" i="1"/>
  <c r="U1066" i="1"/>
  <c r="P1066" i="1"/>
  <c r="U1065" i="1"/>
  <c r="P1065" i="1"/>
  <c r="U1064" i="1"/>
  <c r="P1064" i="1"/>
  <c r="U1063" i="1"/>
  <c r="P1063" i="1"/>
  <c r="U1062" i="1"/>
  <c r="P1062" i="1"/>
  <c r="U1061" i="1"/>
  <c r="P1061" i="1"/>
  <c r="U1060" i="1"/>
  <c r="P1060" i="1"/>
  <c r="U1059" i="1"/>
  <c r="P1059" i="1"/>
  <c r="U1058" i="1"/>
  <c r="P1058" i="1"/>
  <c r="U1057" i="1"/>
  <c r="P1057" i="1"/>
  <c r="U1056" i="1"/>
  <c r="P1056" i="1"/>
  <c r="U1053" i="1"/>
  <c r="P1053" i="1"/>
  <c r="U1052" i="1"/>
  <c r="P1052" i="1"/>
  <c r="U1051" i="1"/>
  <c r="P1051" i="1"/>
  <c r="U1050" i="1"/>
  <c r="P1050" i="1"/>
  <c r="U1049" i="1"/>
  <c r="P1049" i="1"/>
  <c r="U1048" i="1"/>
  <c r="P1048" i="1"/>
  <c r="U1047" i="1"/>
  <c r="P1047" i="1"/>
  <c r="U1045" i="1"/>
  <c r="P1045" i="1"/>
  <c r="U1044" i="1"/>
  <c r="P1044" i="1"/>
  <c r="U1043" i="1"/>
  <c r="P1043" i="1"/>
  <c r="U1042" i="1"/>
  <c r="P1042" i="1"/>
  <c r="U1041" i="1"/>
  <c r="P1041" i="1"/>
  <c r="U1040" i="1"/>
  <c r="P1040" i="1"/>
  <c r="U1039" i="1"/>
  <c r="P1039" i="1"/>
  <c r="U1037" i="1"/>
  <c r="P1037" i="1"/>
  <c r="U1036" i="1"/>
  <c r="P1036" i="1"/>
  <c r="U1035" i="1"/>
  <c r="P1035" i="1"/>
  <c r="U1034" i="1"/>
  <c r="P1034" i="1"/>
  <c r="U1033" i="1"/>
  <c r="P1033" i="1"/>
  <c r="U1032" i="1"/>
  <c r="P1032" i="1"/>
  <c r="U1031" i="1"/>
  <c r="P1031" i="1"/>
  <c r="U1030" i="1"/>
  <c r="P1030" i="1"/>
  <c r="U1029" i="1"/>
  <c r="P1029" i="1"/>
  <c r="U1028" i="1"/>
  <c r="P1028" i="1"/>
  <c r="U1027" i="1"/>
  <c r="P1027" i="1"/>
  <c r="U1026" i="1"/>
  <c r="P1026" i="1"/>
  <c r="U1025" i="1"/>
  <c r="P1025" i="1"/>
  <c r="U1024" i="1"/>
  <c r="P1024" i="1"/>
  <c r="U1023" i="1"/>
  <c r="P1023" i="1"/>
  <c r="U1022" i="1"/>
  <c r="P1022" i="1"/>
  <c r="U1021" i="1"/>
  <c r="P1021" i="1"/>
  <c r="U1020" i="1"/>
  <c r="P1020" i="1"/>
  <c r="U1019" i="1"/>
  <c r="P1019" i="1"/>
  <c r="U1018" i="1"/>
  <c r="P1018" i="1"/>
  <c r="U1017" i="1"/>
  <c r="P1017" i="1"/>
  <c r="U1016" i="1"/>
  <c r="P1016" i="1"/>
  <c r="U1015" i="1"/>
  <c r="P1015" i="1"/>
  <c r="U1014" i="1"/>
  <c r="P1014" i="1"/>
  <c r="U1013" i="1"/>
  <c r="P1013" i="1"/>
  <c r="U1012" i="1"/>
  <c r="P1012" i="1"/>
  <c r="U1011" i="1"/>
  <c r="P1011" i="1"/>
  <c r="U1010" i="1"/>
  <c r="P1010" i="1"/>
  <c r="U1009" i="1"/>
  <c r="P1009" i="1"/>
  <c r="U1008" i="1"/>
  <c r="P1008" i="1"/>
  <c r="U1007" i="1"/>
  <c r="P1007" i="1"/>
  <c r="U1006" i="1"/>
  <c r="P1006" i="1"/>
  <c r="U1005" i="1"/>
  <c r="P1005" i="1"/>
  <c r="U1004" i="1"/>
  <c r="P1004" i="1"/>
  <c r="U1003" i="1"/>
  <c r="P1003" i="1"/>
  <c r="U1002" i="1"/>
  <c r="P1002" i="1"/>
  <c r="U1001" i="1"/>
  <c r="P1001" i="1"/>
  <c r="U1000" i="1"/>
  <c r="P1000" i="1"/>
  <c r="U999" i="1"/>
  <c r="P999" i="1"/>
  <c r="U998" i="1"/>
  <c r="P998" i="1"/>
  <c r="U997" i="1"/>
  <c r="P997" i="1"/>
  <c r="U996" i="1"/>
  <c r="P996" i="1"/>
  <c r="U995" i="1"/>
  <c r="P995" i="1"/>
  <c r="U994" i="1"/>
  <c r="P994" i="1"/>
  <c r="U993" i="1"/>
  <c r="P993" i="1"/>
  <c r="U992" i="1"/>
  <c r="P992" i="1"/>
  <c r="U991" i="1"/>
  <c r="P991" i="1"/>
  <c r="U990" i="1"/>
  <c r="P990" i="1"/>
  <c r="U989" i="1"/>
  <c r="P989" i="1"/>
  <c r="U988" i="1"/>
  <c r="P988" i="1"/>
  <c r="U987" i="1"/>
  <c r="P987" i="1"/>
  <c r="U986" i="1"/>
  <c r="P986" i="1"/>
  <c r="U985" i="1"/>
  <c r="P985" i="1"/>
  <c r="U984" i="1"/>
  <c r="P984" i="1"/>
  <c r="U983" i="1"/>
  <c r="P983" i="1"/>
  <c r="U982" i="1"/>
  <c r="P982" i="1"/>
  <c r="U981" i="1"/>
  <c r="P981" i="1"/>
  <c r="U980" i="1"/>
  <c r="P980" i="1"/>
  <c r="U979" i="1"/>
  <c r="P979" i="1"/>
  <c r="U978" i="1"/>
  <c r="P978" i="1"/>
  <c r="U977" i="1"/>
  <c r="P977" i="1"/>
  <c r="U976" i="1"/>
  <c r="P976" i="1"/>
  <c r="U975" i="1"/>
  <c r="P975" i="1"/>
  <c r="U974" i="1"/>
  <c r="P974" i="1"/>
  <c r="U973" i="1"/>
  <c r="P973" i="1"/>
  <c r="U972" i="1"/>
  <c r="P972" i="1"/>
  <c r="U971" i="1"/>
  <c r="P971" i="1"/>
  <c r="U970" i="1"/>
  <c r="P970" i="1"/>
  <c r="U969" i="1"/>
  <c r="P969" i="1"/>
  <c r="U968" i="1"/>
  <c r="P968" i="1"/>
  <c r="U967" i="1"/>
  <c r="P967" i="1"/>
  <c r="U966" i="1"/>
  <c r="P966" i="1"/>
  <c r="U965" i="1"/>
  <c r="P965" i="1"/>
  <c r="U964" i="1"/>
  <c r="P964" i="1"/>
  <c r="U963" i="1"/>
  <c r="P963" i="1"/>
  <c r="U962" i="1"/>
  <c r="P962" i="1"/>
  <c r="U961" i="1"/>
  <c r="P961" i="1"/>
  <c r="U960" i="1"/>
  <c r="P960" i="1"/>
  <c r="U959" i="1"/>
  <c r="P959" i="1"/>
  <c r="U958" i="1"/>
  <c r="P958" i="1"/>
  <c r="U957" i="1"/>
  <c r="P957" i="1"/>
  <c r="U956" i="1"/>
  <c r="P956" i="1"/>
  <c r="U955" i="1"/>
  <c r="P955" i="1"/>
  <c r="U954" i="1"/>
  <c r="P954" i="1"/>
  <c r="U953" i="1"/>
  <c r="P953" i="1"/>
  <c r="U952" i="1"/>
  <c r="P952" i="1"/>
  <c r="U951" i="1"/>
  <c r="P951" i="1"/>
  <c r="U950" i="1"/>
  <c r="P950" i="1"/>
  <c r="U949" i="1"/>
  <c r="P949" i="1"/>
  <c r="U948" i="1"/>
  <c r="P948" i="1"/>
  <c r="U947" i="1"/>
  <c r="P947" i="1"/>
  <c r="U946" i="1"/>
  <c r="P946" i="1"/>
  <c r="U945" i="1"/>
  <c r="P945" i="1"/>
  <c r="U944" i="1"/>
  <c r="P944" i="1"/>
  <c r="U943" i="1"/>
  <c r="P943" i="1"/>
  <c r="U942" i="1"/>
  <c r="P942" i="1"/>
  <c r="U941" i="1"/>
  <c r="P941" i="1"/>
  <c r="U940" i="1"/>
  <c r="P940" i="1"/>
  <c r="U939" i="1"/>
  <c r="P939" i="1"/>
  <c r="U938" i="1"/>
  <c r="P938" i="1"/>
  <c r="U937" i="1"/>
  <c r="P937" i="1"/>
  <c r="U936" i="1"/>
  <c r="P936" i="1"/>
  <c r="U935" i="1"/>
  <c r="P935" i="1"/>
  <c r="U934" i="1"/>
  <c r="P934" i="1"/>
  <c r="U933" i="1"/>
  <c r="P933" i="1"/>
  <c r="U932" i="1"/>
  <c r="P932" i="1"/>
  <c r="U931" i="1"/>
  <c r="P931" i="1"/>
  <c r="U930" i="1"/>
  <c r="P930" i="1"/>
  <c r="U929" i="1"/>
  <c r="P929" i="1"/>
  <c r="U928" i="1"/>
  <c r="P928" i="1"/>
  <c r="U927" i="1"/>
  <c r="P927" i="1"/>
  <c r="U926" i="1"/>
  <c r="P926" i="1"/>
  <c r="U925" i="1"/>
  <c r="P925" i="1"/>
  <c r="U924" i="1"/>
  <c r="P924" i="1"/>
  <c r="U923" i="1"/>
  <c r="P923" i="1"/>
  <c r="U922" i="1"/>
  <c r="P922" i="1"/>
  <c r="U921" i="1"/>
  <c r="P921" i="1"/>
  <c r="U920" i="1"/>
  <c r="P920" i="1"/>
  <c r="U919" i="1"/>
  <c r="P919" i="1"/>
  <c r="U918" i="1"/>
  <c r="P918" i="1"/>
  <c r="U917" i="1"/>
  <c r="P917" i="1"/>
  <c r="U916" i="1"/>
  <c r="P916" i="1"/>
  <c r="U915" i="1"/>
  <c r="P915" i="1"/>
  <c r="U914" i="1"/>
  <c r="P914" i="1"/>
  <c r="U913" i="1"/>
  <c r="P913" i="1"/>
  <c r="U912" i="1"/>
  <c r="P912" i="1"/>
  <c r="U911" i="1"/>
  <c r="P911" i="1"/>
  <c r="U910" i="1"/>
  <c r="P910" i="1"/>
  <c r="U909" i="1"/>
  <c r="P909" i="1"/>
  <c r="U908" i="1"/>
  <c r="P908" i="1"/>
  <c r="U907" i="1"/>
  <c r="P907" i="1"/>
  <c r="U906" i="1"/>
  <c r="P906" i="1"/>
  <c r="U905" i="1"/>
  <c r="P905" i="1"/>
  <c r="U904" i="1"/>
  <c r="P904" i="1"/>
  <c r="U903" i="1"/>
  <c r="P903" i="1"/>
  <c r="U902" i="1"/>
  <c r="P902" i="1"/>
  <c r="U901" i="1"/>
  <c r="P901" i="1"/>
  <c r="U900" i="1"/>
  <c r="P900" i="1"/>
  <c r="U899" i="1"/>
  <c r="P899" i="1"/>
  <c r="U898" i="1"/>
  <c r="P898" i="1"/>
  <c r="U897" i="1"/>
  <c r="P897" i="1"/>
  <c r="U896" i="1"/>
  <c r="P896" i="1"/>
  <c r="U895" i="1"/>
  <c r="P895" i="1"/>
  <c r="U894" i="1"/>
  <c r="P894" i="1"/>
  <c r="U893" i="1"/>
  <c r="P893" i="1"/>
  <c r="U892" i="1"/>
  <c r="P892" i="1"/>
  <c r="U891" i="1"/>
  <c r="P891" i="1"/>
  <c r="U890" i="1"/>
  <c r="P890" i="1"/>
  <c r="U889" i="1"/>
  <c r="P889" i="1"/>
  <c r="U888" i="1"/>
  <c r="P888" i="1"/>
  <c r="U887" i="1"/>
  <c r="P887" i="1"/>
  <c r="U886" i="1"/>
  <c r="P886" i="1"/>
  <c r="U885" i="1"/>
  <c r="P885" i="1"/>
  <c r="U884" i="1"/>
  <c r="P884" i="1"/>
  <c r="U883" i="1"/>
  <c r="P883" i="1"/>
  <c r="U882" i="1"/>
  <c r="P882" i="1"/>
  <c r="U881" i="1"/>
  <c r="P881" i="1"/>
  <c r="U880" i="1"/>
  <c r="P880" i="1"/>
  <c r="U879" i="1"/>
  <c r="P879" i="1"/>
  <c r="U878" i="1"/>
  <c r="P878" i="1"/>
  <c r="U877" i="1"/>
  <c r="P877" i="1"/>
  <c r="U876" i="1"/>
  <c r="P876" i="1"/>
  <c r="U875" i="1"/>
  <c r="P875" i="1"/>
  <c r="U874" i="1"/>
  <c r="P874" i="1"/>
  <c r="U873" i="1"/>
  <c r="P873" i="1"/>
  <c r="U872" i="1"/>
  <c r="P872" i="1"/>
  <c r="U871" i="1"/>
  <c r="P871" i="1"/>
  <c r="U870" i="1"/>
  <c r="P870" i="1"/>
  <c r="U869" i="1"/>
  <c r="P869" i="1"/>
  <c r="U868" i="1"/>
  <c r="P868" i="1"/>
  <c r="U867" i="1"/>
  <c r="P867" i="1"/>
  <c r="U866" i="1"/>
  <c r="P866" i="1"/>
  <c r="U865" i="1"/>
  <c r="P865" i="1"/>
  <c r="U864" i="1"/>
  <c r="P864" i="1"/>
  <c r="U863" i="1"/>
  <c r="P863" i="1"/>
  <c r="U862" i="1"/>
  <c r="P862" i="1"/>
  <c r="U861" i="1"/>
  <c r="P861" i="1"/>
  <c r="U860" i="1"/>
  <c r="P860" i="1"/>
  <c r="U859" i="1"/>
  <c r="P859" i="1"/>
  <c r="U858" i="1"/>
  <c r="P858" i="1"/>
  <c r="U857" i="1"/>
  <c r="P857" i="1"/>
  <c r="U856" i="1"/>
  <c r="P856" i="1"/>
  <c r="U855" i="1"/>
  <c r="P855" i="1"/>
  <c r="U854" i="1"/>
  <c r="P854" i="1"/>
  <c r="U853" i="1"/>
  <c r="P853" i="1"/>
  <c r="U852" i="1"/>
  <c r="P852" i="1"/>
  <c r="U851" i="1"/>
  <c r="P851" i="1"/>
  <c r="U850" i="1"/>
  <c r="P850" i="1"/>
  <c r="U849" i="1"/>
  <c r="P849" i="1"/>
  <c r="U848" i="1"/>
  <c r="P848" i="1"/>
  <c r="U847" i="1"/>
  <c r="P847" i="1"/>
  <c r="U846" i="1"/>
  <c r="P846" i="1"/>
  <c r="U845" i="1"/>
  <c r="P845" i="1"/>
  <c r="U844" i="1"/>
  <c r="P844" i="1"/>
  <c r="U843" i="1"/>
  <c r="P843" i="1"/>
  <c r="U842" i="1"/>
  <c r="P842" i="1"/>
  <c r="U841" i="1"/>
  <c r="P841" i="1"/>
  <c r="U840" i="1"/>
  <c r="P840" i="1"/>
  <c r="U839" i="1"/>
  <c r="P839" i="1"/>
  <c r="U838" i="1"/>
  <c r="P838" i="1"/>
  <c r="U837" i="1"/>
  <c r="P837" i="1"/>
  <c r="U836" i="1"/>
  <c r="P836" i="1"/>
  <c r="U835" i="1"/>
  <c r="P835" i="1"/>
  <c r="U834" i="1"/>
  <c r="P834" i="1"/>
  <c r="U833" i="1"/>
  <c r="P833" i="1"/>
  <c r="U832" i="1"/>
  <c r="P832" i="1"/>
  <c r="U831" i="1"/>
  <c r="P831" i="1"/>
  <c r="U830" i="1"/>
  <c r="P830" i="1"/>
  <c r="U829" i="1"/>
  <c r="P829" i="1"/>
  <c r="U828" i="1"/>
  <c r="P828" i="1"/>
  <c r="U827" i="1"/>
  <c r="P827" i="1"/>
  <c r="U826" i="1"/>
  <c r="P826" i="1"/>
  <c r="U825" i="1"/>
  <c r="P825" i="1"/>
  <c r="U824" i="1"/>
  <c r="P824" i="1"/>
  <c r="U823" i="1"/>
  <c r="P823" i="1"/>
  <c r="U822" i="1"/>
  <c r="P822" i="1"/>
  <c r="U821" i="1"/>
  <c r="P821" i="1"/>
  <c r="U820" i="1"/>
  <c r="P820" i="1"/>
  <c r="U819" i="1"/>
  <c r="P819" i="1"/>
  <c r="U818" i="1"/>
  <c r="P818" i="1"/>
  <c r="U817" i="1"/>
  <c r="P817" i="1"/>
  <c r="U816" i="1"/>
  <c r="P816" i="1"/>
  <c r="U815" i="1"/>
  <c r="P815" i="1"/>
  <c r="U814" i="1"/>
  <c r="P814" i="1"/>
  <c r="U813" i="1"/>
  <c r="P813" i="1"/>
  <c r="U812" i="1"/>
  <c r="P812" i="1"/>
  <c r="U811" i="1"/>
  <c r="P811" i="1"/>
  <c r="U810" i="1"/>
  <c r="P810" i="1"/>
  <c r="U809" i="1"/>
  <c r="P809" i="1"/>
  <c r="U808" i="1"/>
  <c r="P808" i="1"/>
  <c r="U807" i="1"/>
  <c r="P807" i="1"/>
  <c r="U806" i="1"/>
  <c r="P806" i="1"/>
  <c r="U805" i="1"/>
  <c r="P805" i="1"/>
  <c r="U804" i="1"/>
  <c r="P804" i="1"/>
  <c r="U803" i="1"/>
  <c r="P803" i="1"/>
  <c r="U802" i="1"/>
  <c r="P802" i="1"/>
  <c r="U801" i="1"/>
  <c r="P801" i="1"/>
  <c r="U800" i="1"/>
  <c r="P800" i="1"/>
  <c r="U799" i="1"/>
  <c r="P799" i="1"/>
  <c r="U798" i="1"/>
  <c r="P798" i="1"/>
  <c r="U797" i="1"/>
  <c r="P797" i="1"/>
  <c r="U796" i="1"/>
  <c r="P796" i="1"/>
  <c r="U795" i="1"/>
  <c r="P795" i="1"/>
  <c r="U794" i="1"/>
  <c r="P794" i="1"/>
  <c r="U793" i="1"/>
  <c r="P793" i="1"/>
  <c r="U792" i="1"/>
  <c r="P792" i="1"/>
  <c r="U791" i="1"/>
  <c r="P791" i="1"/>
  <c r="U790" i="1"/>
  <c r="P790" i="1"/>
  <c r="U789" i="1"/>
  <c r="P789" i="1"/>
  <c r="U788" i="1"/>
  <c r="P788" i="1"/>
  <c r="U787" i="1"/>
  <c r="P787" i="1"/>
  <c r="U786" i="1"/>
  <c r="P786" i="1"/>
  <c r="U785" i="1"/>
  <c r="P785" i="1"/>
  <c r="U784" i="1"/>
  <c r="P784" i="1"/>
  <c r="U783" i="1"/>
  <c r="P783" i="1"/>
  <c r="U782" i="1"/>
  <c r="P782" i="1"/>
  <c r="U781" i="1"/>
  <c r="P781" i="1"/>
  <c r="U780" i="1"/>
  <c r="P780" i="1"/>
  <c r="U779" i="1"/>
  <c r="P779" i="1"/>
  <c r="U778" i="1"/>
  <c r="P778" i="1"/>
  <c r="U777" i="1"/>
  <c r="P777" i="1"/>
  <c r="U776" i="1"/>
  <c r="P776" i="1"/>
  <c r="U775" i="1"/>
  <c r="P775" i="1"/>
  <c r="U774" i="1"/>
  <c r="P774" i="1"/>
  <c r="U773" i="1"/>
  <c r="P773" i="1"/>
  <c r="U772" i="1"/>
  <c r="P772" i="1"/>
  <c r="U771" i="1"/>
  <c r="P771" i="1"/>
  <c r="U770" i="1"/>
  <c r="P770" i="1"/>
  <c r="U769" i="1"/>
  <c r="P769" i="1"/>
  <c r="U768" i="1"/>
  <c r="P768" i="1"/>
  <c r="U767" i="1"/>
  <c r="P767" i="1"/>
  <c r="U766" i="1"/>
  <c r="P766" i="1"/>
  <c r="U765" i="1"/>
  <c r="P765" i="1"/>
  <c r="U764" i="1"/>
  <c r="P764" i="1"/>
  <c r="U763" i="1"/>
  <c r="P763" i="1"/>
  <c r="U762" i="1"/>
  <c r="P762" i="1"/>
  <c r="U761" i="1"/>
  <c r="P761" i="1"/>
  <c r="U760" i="1"/>
  <c r="P760" i="1"/>
  <c r="U759" i="1"/>
  <c r="P759" i="1"/>
  <c r="U758" i="1"/>
  <c r="P758" i="1"/>
  <c r="U757" i="1"/>
  <c r="P757" i="1"/>
  <c r="U756" i="1"/>
  <c r="P756" i="1"/>
  <c r="U755" i="1"/>
  <c r="P755" i="1"/>
  <c r="U754" i="1"/>
  <c r="P754" i="1"/>
  <c r="U753" i="1"/>
  <c r="P753" i="1"/>
  <c r="U752" i="1"/>
  <c r="P752" i="1"/>
  <c r="U751" i="1"/>
  <c r="P751" i="1"/>
  <c r="U750" i="1"/>
  <c r="P750" i="1"/>
  <c r="U749" i="1"/>
  <c r="P749" i="1"/>
  <c r="U748" i="1"/>
  <c r="P748" i="1"/>
  <c r="U747" i="1"/>
  <c r="P747" i="1"/>
  <c r="U746" i="1"/>
  <c r="P746" i="1"/>
  <c r="U745" i="1"/>
  <c r="P745" i="1"/>
  <c r="U744" i="1"/>
  <c r="P744" i="1"/>
  <c r="U743" i="1"/>
  <c r="P743" i="1"/>
  <c r="U742" i="1"/>
  <c r="P742" i="1"/>
  <c r="U741" i="1"/>
  <c r="P741" i="1"/>
  <c r="U740" i="1"/>
  <c r="P740" i="1"/>
  <c r="U739" i="1"/>
  <c r="P739" i="1"/>
  <c r="U738" i="1"/>
  <c r="P738" i="1"/>
  <c r="U737" i="1"/>
  <c r="P737" i="1"/>
  <c r="U736" i="1"/>
  <c r="P736" i="1"/>
  <c r="U735" i="1"/>
  <c r="P735" i="1"/>
  <c r="U734" i="1"/>
  <c r="P734" i="1"/>
  <c r="U733" i="1"/>
  <c r="P733" i="1"/>
  <c r="U732" i="1"/>
  <c r="P732" i="1"/>
  <c r="U731" i="1"/>
  <c r="P731" i="1"/>
  <c r="U730" i="1"/>
  <c r="P730" i="1"/>
  <c r="U729" i="1"/>
  <c r="P729" i="1"/>
  <c r="U728" i="1"/>
  <c r="P728" i="1"/>
  <c r="U727" i="1"/>
  <c r="P727" i="1"/>
  <c r="U726" i="1"/>
  <c r="P726" i="1"/>
  <c r="U725" i="1"/>
  <c r="P725" i="1"/>
  <c r="U724" i="1"/>
  <c r="P724" i="1"/>
  <c r="U723" i="1"/>
  <c r="P723" i="1"/>
  <c r="U722" i="1"/>
  <c r="P722" i="1"/>
  <c r="U721" i="1"/>
  <c r="P721" i="1"/>
  <c r="U720" i="1"/>
  <c r="P720" i="1"/>
  <c r="U719" i="1"/>
  <c r="P719" i="1"/>
  <c r="U718" i="1"/>
  <c r="P718" i="1"/>
  <c r="U717" i="1"/>
  <c r="P717" i="1"/>
  <c r="U716" i="1"/>
  <c r="P716" i="1"/>
  <c r="U715" i="1"/>
  <c r="P715" i="1"/>
  <c r="U714" i="1"/>
  <c r="P714" i="1"/>
  <c r="U713" i="1"/>
  <c r="P713" i="1"/>
  <c r="U712" i="1"/>
  <c r="P712" i="1"/>
  <c r="U711" i="1"/>
  <c r="P711" i="1"/>
  <c r="U710" i="1"/>
  <c r="P710" i="1"/>
  <c r="U709" i="1"/>
  <c r="P709" i="1"/>
  <c r="U708" i="1"/>
  <c r="P708" i="1"/>
  <c r="U707" i="1"/>
  <c r="P707" i="1"/>
  <c r="U706" i="1"/>
  <c r="P706" i="1"/>
  <c r="U705" i="1"/>
  <c r="P705" i="1"/>
  <c r="U704" i="1"/>
  <c r="P704" i="1"/>
  <c r="U703" i="1"/>
  <c r="P703" i="1"/>
  <c r="U702" i="1"/>
  <c r="P702" i="1"/>
  <c r="U701" i="1"/>
  <c r="P701" i="1"/>
  <c r="U700" i="1"/>
  <c r="P700" i="1"/>
  <c r="U699" i="1"/>
  <c r="P699" i="1"/>
  <c r="U698" i="1"/>
  <c r="P698" i="1"/>
  <c r="U697" i="1"/>
  <c r="P697" i="1"/>
  <c r="U696" i="1"/>
  <c r="P696" i="1"/>
  <c r="U695" i="1"/>
  <c r="P695" i="1"/>
  <c r="U694" i="1"/>
  <c r="P694" i="1"/>
  <c r="U693" i="1"/>
  <c r="P693" i="1"/>
  <c r="U692" i="1"/>
  <c r="P692" i="1"/>
  <c r="U691" i="1"/>
  <c r="P691" i="1"/>
  <c r="U690" i="1"/>
  <c r="P690" i="1"/>
  <c r="U689" i="1"/>
  <c r="P689" i="1"/>
  <c r="U688" i="1"/>
  <c r="P688" i="1"/>
  <c r="U687" i="1"/>
  <c r="P687" i="1"/>
  <c r="U686" i="1"/>
  <c r="P686" i="1"/>
  <c r="U685" i="1"/>
  <c r="P685" i="1"/>
  <c r="U684" i="1"/>
  <c r="P684" i="1"/>
  <c r="U683" i="1"/>
  <c r="P683" i="1"/>
  <c r="U682" i="1"/>
  <c r="P682" i="1"/>
  <c r="U681" i="1"/>
  <c r="P681" i="1"/>
  <c r="U680" i="1"/>
  <c r="P680" i="1"/>
  <c r="U679" i="1"/>
  <c r="P679" i="1"/>
  <c r="U678" i="1"/>
  <c r="P678" i="1"/>
  <c r="U677" i="1"/>
  <c r="P677" i="1"/>
  <c r="U676" i="1"/>
  <c r="P676" i="1"/>
  <c r="U675" i="1"/>
  <c r="P675" i="1"/>
  <c r="U674" i="1"/>
  <c r="P674" i="1"/>
  <c r="U673" i="1"/>
  <c r="P673" i="1"/>
  <c r="U672" i="1"/>
  <c r="P672" i="1"/>
  <c r="U671" i="1"/>
  <c r="P671" i="1"/>
  <c r="U670" i="1"/>
  <c r="P670" i="1"/>
  <c r="U669" i="1"/>
  <c r="P669" i="1"/>
  <c r="U668" i="1"/>
  <c r="P668" i="1"/>
  <c r="U667" i="1"/>
  <c r="P667" i="1"/>
  <c r="U666" i="1"/>
  <c r="P666" i="1"/>
  <c r="U665" i="1"/>
  <c r="P665" i="1"/>
  <c r="U664" i="1"/>
  <c r="P664" i="1"/>
  <c r="U663" i="1"/>
  <c r="P663" i="1"/>
  <c r="U662" i="1"/>
  <c r="P662" i="1"/>
  <c r="U661" i="1"/>
  <c r="P661" i="1"/>
  <c r="U660" i="1"/>
  <c r="P660" i="1"/>
  <c r="U659" i="1"/>
  <c r="P659" i="1"/>
  <c r="U658" i="1"/>
  <c r="P658" i="1"/>
  <c r="U657" i="1"/>
  <c r="P657" i="1"/>
  <c r="U656" i="1"/>
  <c r="P656" i="1"/>
  <c r="U655" i="1"/>
  <c r="P655" i="1"/>
  <c r="U654" i="1"/>
  <c r="P654" i="1"/>
  <c r="U653" i="1"/>
  <c r="P653" i="1"/>
  <c r="U652" i="1"/>
  <c r="P652" i="1"/>
  <c r="U651" i="1"/>
  <c r="P651" i="1"/>
  <c r="U650" i="1"/>
  <c r="P650" i="1"/>
  <c r="U649" i="1"/>
  <c r="P649" i="1"/>
  <c r="U648" i="1"/>
  <c r="P648" i="1"/>
  <c r="U647" i="1"/>
  <c r="P647" i="1"/>
  <c r="U646" i="1"/>
  <c r="P646" i="1"/>
  <c r="U645" i="1"/>
  <c r="P645" i="1"/>
  <c r="U644" i="1"/>
  <c r="P644" i="1"/>
  <c r="U643" i="1"/>
  <c r="P643" i="1"/>
  <c r="U642" i="1"/>
  <c r="P642" i="1"/>
  <c r="U641" i="1"/>
  <c r="P641" i="1"/>
  <c r="U640" i="1"/>
  <c r="P640" i="1"/>
  <c r="U639" i="1"/>
  <c r="P639" i="1"/>
  <c r="U638" i="1"/>
  <c r="P638" i="1"/>
  <c r="U637" i="1"/>
  <c r="P637" i="1"/>
  <c r="U636" i="1"/>
  <c r="P636" i="1"/>
  <c r="U635" i="1"/>
  <c r="P635" i="1"/>
  <c r="U634" i="1"/>
  <c r="P634" i="1"/>
  <c r="U633" i="1"/>
  <c r="P633" i="1"/>
  <c r="U632" i="1"/>
  <c r="P632" i="1"/>
  <c r="U631" i="1"/>
  <c r="P631" i="1"/>
  <c r="U630" i="1"/>
  <c r="P630" i="1"/>
  <c r="U629" i="1"/>
  <c r="P629" i="1"/>
  <c r="U628" i="1"/>
  <c r="P628" i="1"/>
  <c r="U627" i="1"/>
  <c r="P627" i="1"/>
  <c r="U626" i="1"/>
  <c r="P626" i="1"/>
  <c r="U625" i="1"/>
  <c r="P625" i="1"/>
  <c r="U624" i="1"/>
  <c r="P624" i="1"/>
  <c r="U623" i="1"/>
  <c r="P623" i="1"/>
  <c r="U622" i="1"/>
  <c r="P622" i="1"/>
  <c r="U621" i="1"/>
  <c r="P621" i="1"/>
  <c r="U620" i="1"/>
  <c r="P620" i="1"/>
  <c r="U619" i="1"/>
  <c r="P619" i="1"/>
  <c r="U618" i="1"/>
  <c r="P618" i="1"/>
  <c r="U617" i="1"/>
  <c r="P617" i="1"/>
  <c r="U616" i="1"/>
  <c r="P616" i="1"/>
  <c r="U615" i="1"/>
  <c r="P615" i="1"/>
  <c r="U614" i="1"/>
  <c r="P614" i="1"/>
  <c r="U613" i="1"/>
  <c r="P613" i="1"/>
  <c r="U612" i="1"/>
  <c r="P612" i="1"/>
  <c r="U611" i="1"/>
  <c r="P611" i="1"/>
  <c r="U610" i="1"/>
  <c r="P610" i="1"/>
  <c r="U609" i="1"/>
  <c r="P609" i="1"/>
  <c r="U608" i="1"/>
  <c r="P608" i="1"/>
  <c r="U607" i="1"/>
  <c r="P607" i="1"/>
  <c r="U606" i="1"/>
  <c r="P606" i="1"/>
  <c r="U605" i="1"/>
  <c r="P605" i="1"/>
  <c r="U604" i="1"/>
  <c r="P604" i="1"/>
  <c r="U603" i="1"/>
  <c r="P603" i="1"/>
  <c r="U602" i="1"/>
  <c r="P602" i="1"/>
  <c r="U601" i="1"/>
  <c r="P601" i="1"/>
  <c r="U600" i="1"/>
  <c r="P600" i="1"/>
  <c r="U599" i="1"/>
  <c r="P599" i="1"/>
  <c r="U598" i="1"/>
  <c r="P598" i="1"/>
  <c r="U597" i="1"/>
  <c r="P597" i="1"/>
  <c r="U596" i="1"/>
  <c r="P596" i="1"/>
  <c r="U595" i="1"/>
  <c r="P595" i="1"/>
  <c r="U594" i="1"/>
  <c r="P594" i="1"/>
  <c r="U593" i="1"/>
  <c r="P593" i="1"/>
  <c r="U592" i="1"/>
  <c r="P592" i="1"/>
  <c r="U591" i="1"/>
  <c r="P591" i="1"/>
  <c r="U590" i="1"/>
  <c r="P590" i="1"/>
  <c r="U589" i="1"/>
  <c r="P589" i="1"/>
  <c r="U588" i="1"/>
  <c r="P588" i="1"/>
  <c r="U587" i="1"/>
  <c r="P587" i="1"/>
  <c r="U586" i="1"/>
  <c r="P586" i="1"/>
  <c r="U585" i="1"/>
  <c r="P585" i="1"/>
  <c r="U584" i="1"/>
  <c r="P584" i="1"/>
  <c r="U583" i="1"/>
  <c r="P583" i="1"/>
  <c r="U582" i="1"/>
  <c r="P582" i="1"/>
  <c r="U581" i="1"/>
  <c r="P581" i="1"/>
  <c r="U580" i="1"/>
  <c r="P580" i="1"/>
  <c r="U579" i="1"/>
  <c r="P579" i="1"/>
  <c r="U578" i="1"/>
  <c r="P578" i="1"/>
  <c r="U577" i="1"/>
  <c r="P577" i="1"/>
  <c r="U576" i="1"/>
  <c r="P576" i="1"/>
  <c r="U575" i="1"/>
  <c r="P575" i="1"/>
  <c r="U574" i="1"/>
  <c r="P574" i="1"/>
  <c r="U573" i="1"/>
  <c r="P573" i="1"/>
  <c r="U572" i="1"/>
  <c r="P572" i="1"/>
  <c r="U571" i="1"/>
  <c r="P571" i="1"/>
  <c r="U570" i="1"/>
  <c r="P570" i="1"/>
  <c r="U569" i="1"/>
  <c r="P569" i="1"/>
  <c r="U568" i="1"/>
  <c r="P568" i="1"/>
  <c r="U567" i="1"/>
  <c r="P567" i="1"/>
  <c r="U566" i="1"/>
  <c r="P566" i="1"/>
  <c r="U565" i="1"/>
  <c r="P565" i="1"/>
  <c r="U564" i="1"/>
  <c r="P564" i="1"/>
  <c r="U563" i="1"/>
  <c r="P563" i="1"/>
  <c r="U562" i="1"/>
  <c r="P562" i="1"/>
  <c r="U561" i="1"/>
  <c r="P561" i="1"/>
  <c r="U560" i="1"/>
  <c r="P560" i="1"/>
  <c r="U559" i="1"/>
  <c r="P559" i="1"/>
  <c r="U558" i="1"/>
  <c r="P558" i="1"/>
  <c r="U557" i="1"/>
  <c r="P557" i="1"/>
  <c r="U556" i="1"/>
  <c r="P556" i="1"/>
  <c r="U555" i="1"/>
  <c r="P555" i="1"/>
  <c r="U554" i="1"/>
  <c r="P554" i="1"/>
  <c r="U553" i="1"/>
  <c r="P553" i="1"/>
  <c r="U552" i="1"/>
  <c r="P552" i="1"/>
  <c r="U551" i="1"/>
  <c r="P551" i="1"/>
  <c r="U550" i="1"/>
  <c r="P550" i="1"/>
  <c r="U549" i="1"/>
  <c r="P549" i="1"/>
  <c r="U548" i="1"/>
  <c r="P548" i="1"/>
  <c r="U547" i="1"/>
  <c r="P547" i="1"/>
  <c r="U546" i="1"/>
  <c r="P546" i="1"/>
  <c r="U545" i="1"/>
  <c r="P545" i="1"/>
  <c r="U544" i="1"/>
  <c r="P544" i="1"/>
  <c r="U543" i="1"/>
  <c r="P543" i="1"/>
  <c r="U542" i="1"/>
  <c r="P542" i="1"/>
  <c r="U541" i="1"/>
  <c r="P541" i="1"/>
  <c r="U540" i="1"/>
  <c r="P540" i="1"/>
  <c r="U539" i="1"/>
  <c r="P539" i="1"/>
  <c r="U538" i="1"/>
  <c r="P538" i="1"/>
  <c r="U537" i="1"/>
  <c r="P537" i="1"/>
  <c r="U536" i="1"/>
  <c r="P536" i="1"/>
  <c r="U535" i="1"/>
  <c r="P535" i="1"/>
  <c r="U534" i="1"/>
  <c r="P534" i="1"/>
  <c r="U533" i="1"/>
  <c r="P533" i="1"/>
  <c r="U532" i="1"/>
  <c r="P532" i="1"/>
  <c r="U531" i="1"/>
  <c r="P531" i="1"/>
  <c r="U530" i="1"/>
  <c r="P530" i="1"/>
  <c r="U529" i="1"/>
  <c r="P529" i="1"/>
  <c r="U528" i="1"/>
  <c r="P528" i="1"/>
  <c r="U527" i="1"/>
  <c r="P527" i="1"/>
  <c r="U526" i="1"/>
  <c r="P526" i="1"/>
  <c r="U525" i="1"/>
  <c r="P525" i="1"/>
  <c r="U524" i="1"/>
  <c r="P524" i="1"/>
  <c r="U523" i="1"/>
  <c r="P523" i="1"/>
  <c r="U522" i="1"/>
  <c r="P522" i="1"/>
  <c r="U521" i="1"/>
  <c r="P521" i="1"/>
  <c r="U520" i="1"/>
  <c r="P520" i="1"/>
  <c r="U519" i="1"/>
  <c r="P519" i="1"/>
  <c r="U518" i="1"/>
  <c r="P518" i="1"/>
  <c r="U517" i="1"/>
  <c r="P517" i="1"/>
  <c r="U516" i="1"/>
  <c r="P516" i="1"/>
  <c r="U515" i="1"/>
  <c r="P515" i="1"/>
  <c r="U514" i="1"/>
  <c r="P514" i="1"/>
  <c r="U513" i="1"/>
  <c r="P513" i="1"/>
  <c r="U512" i="1"/>
  <c r="P512" i="1"/>
  <c r="U511" i="1"/>
  <c r="P511" i="1"/>
  <c r="U510" i="1"/>
  <c r="P510" i="1"/>
  <c r="U509" i="1"/>
  <c r="P509" i="1"/>
  <c r="U508" i="1"/>
  <c r="P508" i="1"/>
  <c r="U507" i="1"/>
  <c r="P507" i="1"/>
  <c r="U506" i="1"/>
  <c r="P506" i="1"/>
  <c r="U505" i="1"/>
  <c r="P505" i="1"/>
  <c r="U504" i="1"/>
  <c r="P504" i="1"/>
  <c r="U503" i="1"/>
  <c r="P503" i="1"/>
  <c r="U502" i="1"/>
  <c r="P502" i="1"/>
  <c r="U501" i="1"/>
  <c r="P501" i="1"/>
  <c r="U500" i="1"/>
  <c r="P500" i="1"/>
  <c r="U499" i="1"/>
  <c r="P499" i="1"/>
  <c r="U498" i="1"/>
  <c r="P498" i="1"/>
  <c r="U497" i="1"/>
  <c r="P497" i="1"/>
  <c r="U496" i="1"/>
  <c r="P496" i="1"/>
  <c r="U495" i="1"/>
  <c r="P495" i="1"/>
  <c r="U494" i="1"/>
  <c r="P494" i="1"/>
  <c r="U493" i="1"/>
  <c r="P493" i="1"/>
  <c r="U492" i="1"/>
  <c r="P492" i="1"/>
  <c r="U491" i="1"/>
  <c r="P491" i="1"/>
  <c r="U490" i="1"/>
  <c r="P490" i="1"/>
  <c r="U489" i="1"/>
  <c r="P489" i="1"/>
  <c r="U488" i="1"/>
  <c r="P488" i="1"/>
  <c r="U487" i="1"/>
  <c r="P487" i="1"/>
  <c r="U486" i="1"/>
  <c r="P486" i="1"/>
  <c r="U485" i="1"/>
  <c r="P485" i="1"/>
  <c r="U484" i="1"/>
  <c r="P484" i="1"/>
  <c r="U483" i="1"/>
  <c r="P483" i="1"/>
  <c r="U482" i="1"/>
  <c r="P482" i="1"/>
  <c r="U481" i="1"/>
  <c r="P481" i="1"/>
  <c r="U480" i="1"/>
  <c r="P480" i="1"/>
  <c r="U479" i="1"/>
  <c r="P479" i="1"/>
  <c r="U478" i="1"/>
  <c r="P478" i="1"/>
  <c r="U477" i="1"/>
  <c r="P477" i="1"/>
  <c r="U476" i="1"/>
  <c r="P476" i="1"/>
  <c r="U475" i="1"/>
  <c r="P475" i="1"/>
  <c r="U474" i="1"/>
  <c r="P474" i="1"/>
  <c r="U473" i="1"/>
  <c r="P473" i="1"/>
  <c r="U472" i="1"/>
  <c r="P472" i="1"/>
  <c r="U471" i="1"/>
  <c r="P471" i="1"/>
  <c r="U470" i="1"/>
  <c r="P470" i="1"/>
  <c r="U469" i="1"/>
  <c r="P469" i="1"/>
  <c r="U468" i="1"/>
  <c r="P468" i="1"/>
  <c r="U467" i="1"/>
  <c r="P467" i="1"/>
  <c r="U466" i="1"/>
  <c r="P466" i="1"/>
  <c r="U465" i="1"/>
  <c r="P465" i="1"/>
  <c r="U464" i="1"/>
  <c r="P464" i="1"/>
  <c r="U463" i="1"/>
  <c r="P463" i="1"/>
  <c r="U462" i="1"/>
  <c r="P462" i="1"/>
  <c r="U461" i="1"/>
  <c r="P461" i="1"/>
  <c r="U460" i="1"/>
  <c r="P460" i="1"/>
  <c r="U459" i="1"/>
  <c r="P459" i="1"/>
  <c r="U458" i="1"/>
  <c r="P458" i="1"/>
  <c r="U457" i="1"/>
  <c r="P457" i="1"/>
  <c r="U456" i="1"/>
  <c r="P456" i="1"/>
  <c r="U455" i="1"/>
  <c r="P455" i="1"/>
  <c r="U454" i="1"/>
  <c r="P454" i="1"/>
  <c r="U453" i="1"/>
  <c r="P453" i="1"/>
  <c r="U452" i="1"/>
  <c r="P452" i="1"/>
  <c r="U451" i="1"/>
  <c r="P451" i="1"/>
  <c r="U450" i="1"/>
  <c r="P450" i="1"/>
  <c r="U449" i="1"/>
  <c r="P449" i="1"/>
  <c r="U448" i="1"/>
  <c r="P448" i="1"/>
  <c r="U447" i="1"/>
  <c r="P447" i="1"/>
  <c r="U446" i="1"/>
  <c r="P446" i="1"/>
  <c r="U445" i="1"/>
  <c r="P445" i="1"/>
  <c r="U444" i="1"/>
  <c r="P444" i="1"/>
  <c r="U443" i="1"/>
  <c r="P443" i="1"/>
  <c r="U442" i="1"/>
  <c r="P442" i="1"/>
  <c r="U441" i="1"/>
  <c r="P441" i="1"/>
  <c r="U440" i="1"/>
  <c r="P440" i="1"/>
  <c r="U439" i="1"/>
  <c r="P439" i="1"/>
  <c r="U438" i="1"/>
  <c r="P438" i="1"/>
  <c r="U437" i="1"/>
  <c r="P437" i="1"/>
  <c r="U436" i="1"/>
  <c r="P436" i="1"/>
  <c r="U435" i="1"/>
  <c r="P435" i="1"/>
  <c r="U434" i="1"/>
  <c r="P434" i="1"/>
  <c r="U433" i="1"/>
  <c r="P433" i="1"/>
  <c r="U432" i="1"/>
  <c r="P432" i="1"/>
  <c r="U431" i="1"/>
  <c r="P431" i="1"/>
  <c r="U430" i="1"/>
  <c r="P430" i="1"/>
  <c r="U429" i="1"/>
  <c r="P429" i="1"/>
  <c r="U428" i="1"/>
  <c r="P428" i="1"/>
  <c r="U427" i="1"/>
  <c r="P427" i="1"/>
  <c r="U426" i="1"/>
  <c r="P426" i="1"/>
  <c r="U425" i="1"/>
  <c r="P425" i="1"/>
  <c r="U424" i="1"/>
  <c r="P424" i="1"/>
  <c r="U423" i="1"/>
  <c r="P423" i="1"/>
  <c r="U422" i="1"/>
  <c r="P422" i="1"/>
  <c r="U421" i="1"/>
  <c r="P421" i="1"/>
  <c r="U420" i="1"/>
  <c r="P420" i="1"/>
  <c r="U419" i="1"/>
  <c r="P419" i="1"/>
  <c r="U418" i="1"/>
  <c r="P418" i="1"/>
  <c r="U417" i="1"/>
  <c r="P417" i="1"/>
  <c r="U416" i="1"/>
  <c r="P416" i="1"/>
  <c r="U415" i="1"/>
  <c r="P415" i="1"/>
  <c r="U414" i="1"/>
  <c r="P414" i="1"/>
  <c r="U413" i="1"/>
  <c r="P413" i="1"/>
  <c r="U412" i="1"/>
  <c r="P412" i="1"/>
  <c r="U411" i="1"/>
  <c r="P411" i="1"/>
  <c r="U410" i="1"/>
  <c r="P410" i="1"/>
  <c r="U409" i="1"/>
  <c r="P409" i="1"/>
  <c r="U408" i="1"/>
  <c r="P408" i="1"/>
  <c r="U407" i="1"/>
  <c r="P407" i="1"/>
  <c r="U406" i="1"/>
  <c r="P406" i="1"/>
  <c r="U405" i="1"/>
  <c r="P405" i="1"/>
  <c r="U404" i="1"/>
  <c r="P404" i="1"/>
  <c r="U403" i="1"/>
  <c r="P403" i="1"/>
  <c r="U402" i="1"/>
  <c r="P402" i="1"/>
  <c r="U401" i="1"/>
  <c r="P401" i="1"/>
  <c r="U400" i="1"/>
  <c r="P400" i="1"/>
  <c r="U399" i="1"/>
  <c r="P399" i="1"/>
  <c r="U398" i="1"/>
  <c r="P398" i="1"/>
  <c r="U397" i="1"/>
  <c r="P397" i="1"/>
  <c r="U396" i="1"/>
  <c r="P396" i="1"/>
  <c r="U395" i="1"/>
  <c r="P395" i="1"/>
  <c r="U394" i="1"/>
  <c r="P394" i="1"/>
  <c r="U393" i="1"/>
  <c r="P393" i="1"/>
  <c r="U392" i="1"/>
  <c r="P392" i="1"/>
  <c r="U391" i="1"/>
  <c r="P391" i="1"/>
  <c r="U390" i="1"/>
  <c r="P390" i="1"/>
  <c r="U389" i="1"/>
  <c r="P389" i="1"/>
  <c r="U388" i="1"/>
  <c r="P388" i="1"/>
  <c r="U387" i="1"/>
  <c r="P387" i="1"/>
  <c r="U386" i="1"/>
  <c r="P386" i="1"/>
  <c r="U385" i="1"/>
  <c r="P385" i="1"/>
  <c r="U384" i="1"/>
  <c r="P384" i="1"/>
  <c r="U383" i="1"/>
  <c r="P383" i="1"/>
  <c r="U382" i="1"/>
  <c r="P382" i="1"/>
  <c r="U381" i="1"/>
  <c r="P381" i="1"/>
  <c r="U380" i="1"/>
  <c r="P380" i="1"/>
  <c r="U379" i="1"/>
  <c r="P379" i="1"/>
  <c r="U378" i="1"/>
  <c r="P378" i="1"/>
  <c r="U377" i="1"/>
  <c r="P377" i="1"/>
  <c r="U376" i="1"/>
  <c r="P376" i="1"/>
  <c r="U375" i="1"/>
  <c r="P375" i="1"/>
  <c r="U374" i="1"/>
  <c r="P374" i="1"/>
  <c r="U373" i="1"/>
  <c r="P373" i="1"/>
  <c r="U372" i="1"/>
  <c r="P372" i="1"/>
  <c r="U371" i="1"/>
  <c r="P371" i="1"/>
  <c r="U370" i="1"/>
  <c r="P370" i="1"/>
  <c r="U369" i="1"/>
  <c r="P369" i="1"/>
  <c r="U368" i="1"/>
  <c r="P368" i="1"/>
  <c r="U367" i="1"/>
  <c r="P367" i="1"/>
  <c r="U366" i="1"/>
  <c r="P366" i="1"/>
  <c r="U365" i="1"/>
  <c r="P365" i="1"/>
  <c r="U364" i="1"/>
  <c r="P364" i="1"/>
  <c r="U363" i="1"/>
  <c r="P363" i="1"/>
  <c r="U362" i="1"/>
  <c r="P362" i="1"/>
  <c r="U361" i="1"/>
  <c r="P361" i="1"/>
  <c r="U360" i="1"/>
  <c r="P360" i="1"/>
  <c r="U359" i="1"/>
  <c r="P359" i="1"/>
  <c r="U358" i="1"/>
  <c r="P358" i="1"/>
  <c r="U357" i="1"/>
  <c r="P357" i="1"/>
  <c r="U356" i="1"/>
  <c r="P356" i="1"/>
  <c r="U355" i="1"/>
  <c r="P355" i="1"/>
  <c r="U354" i="1"/>
  <c r="P354" i="1"/>
  <c r="U353" i="1"/>
  <c r="P353" i="1"/>
  <c r="U352" i="1"/>
  <c r="P352" i="1"/>
  <c r="U351" i="1"/>
  <c r="P351" i="1"/>
  <c r="U350" i="1"/>
  <c r="P350" i="1"/>
  <c r="U349" i="1"/>
  <c r="P349" i="1"/>
  <c r="U348" i="1"/>
  <c r="P348" i="1"/>
  <c r="U347" i="1"/>
  <c r="P347" i="1"/>
  <c r="U346" i="1"/>
  <c r="P346" i="1"/>
  <c r="U345" i="1"/>
  <c r="P345" i="1"/>
  <c r="U344" i="1"/>
  <c r="P344" i="1"/>
  <c r="U343" i="1"/>
  <c r="P343" i="1"/>
  <c r="U342" i="1"/>
  <c r="P342" i="1"/>
  <c r="U341" i="1"/>
  <c r="P341" i="1"/>
  <c r="U340" i="1"/>
  <c r="P340" i="1"/>
  <c r="U339" i="1"/>
  <c r="P339" i="1"/>
  <c r="U338" i="1"/>
  <c r="P338" i="1"/>
  <c r="U337" i="1"/>
  <c r="P337" i="1"/>
  <c r="U336" i="1"/>
  <c r="P336" i="1"/>
  <c r="U335" i="1"/>
  <c r="P335" i="1"/>
  <c r="U334" i="1"/>
  <c r="P334" i="1"/>
  <c r="U333" i="1"/>
  <c r="P333" i="1"/>
  <c r="U332" i="1"/>
  <c r="P332" i="1"/>
  <c r="U331" i="1"/>
  <c r="P331" i="1"/>
  <c r="U330" i="1"/>
  <c r="P330" i="1"/>
  <c r="U329" i="1"/>
  <c r="P329" i="1"/>
  <c r="U328" i="1"/>
  <c r="P328" i="1"/>
  <c r="U327" i="1"/>
  <c r="P327" i="1"/>
  <c r="U326" i="1"/>
  <c r="P326" i="1"/>
  <c r="U325" i="1"/>
  <c r="P325" i="1"/>
  <c r="U324" i="1"/>
  <c r="P324" i="1"/>
  <c r="U323" i="1"/>
  <c r="P323" i="1"/>
  <c r="U322" i="1"/>
  <c r="P322" i="1"/>
  <c r="U321" i="1"/>
  <c r="P321" i="1"/>
  <c r="U320" i="1"/>
  <c r="P320" i="1"/>
  <c r="U319" i="1"/>
  <c r="P319" i="1"/>
  <c r="U318" i="1"/>
  <c r="P318" i="1"/>
  <c r="U317" i="1"/>
  <c r="P317" i="1"/>
  <c r="U316" i="1"/>
  <c r="P316" i="1"/>
  <c r="U315" i="1"/>
  <c r="P315" i="1"/>
  <c r="U314" i="1"/>
  <c r="P314" i="1"/>
  <c r="U313" i="1"/>
  <c r="P313" i="1"/>
  <c r="U312" i="1"/>
  <c r="P312" i="1"/>
  <c r="U311" i="1"/>
  <c r="P311" i="1"/>
  <c r="U310" i="1"/>
  <c r="P310" i="1"/>
  <c r="U309" i="1"/>
  <c r="P309" i="1"/>
  <c r="U308" i="1"/>
  <c r="P308" i="1"/>
  <c r="U307" i="1"/>
  <c r="P307" i="1"/>
  <c r="U306" i="1"/>
  <c r="P306" i="1"/>
  <c r="U305" i="1"/>
  <c r="P305" i="1"/>
  <c r="U304" i="1"/>
  <c r="P304" i="1"/>
  <c r="U303" i="1"/>
  <c r="P303" i="1"/>
  <c r="U302" i="1"/>
  <c r="P302" i="1"/>
  <c r="U301" i="1"/>
  <c r="P301" i="1"/>
  <c r="U300" i="1"/>
  <c r="P300" i="1"/>
  <c r="U299" i="1"/>
  <c r="P299" i="1"/>
  <c r="U298" i="1"/>
  <c r="P298" i="1"/>
  <c r="U297" i="1"/>
  <c r="P297" i="1"/>
  <c r="U296" i="1"/>
  <c r="P296" i="1"/>
  <c r="U295" i="1"/>
  <c r="P295" i="1"/>
  <c r="U294" i="1"/>
  <c r="P294" i="1"/>
  <c r="U293" i="1"/>
  <c r="P293" i="1"/>
  <c r="U292" i="1"/>
  <c r="P292" i="1"/>
  <c r="U291" i="1"/>
  <c r="P291" i="1"/>
  <c r="U290" i="1"/>
  <c r="P290" i="1"/>
  <c r="U289" i="1"/>
  <c r="P289" i="1"/>
  <c r="U288" i="1"/>
  <c r="P288" i="1"/>
  <c r="U287" i="1"/>
  <c r="P287" i="1"/>
  <c r="U286" i="1"/>
  <c r="P286" i="1"/>
  <c r="U285" i="1"/>
  <c r="P285" i="1"/>
  <c r="U284" i="1"/>
  <c r="P284" i="1"/>
  <c r="U283" i="1"/>
  <c r="P283" i="1"/>
  <c r="U282" i="1"/>
  <c r="P282" i="1"/>
  <c r="U281" i="1"/>
  <c r="P281" i="1"/>
  <c r="U280" i="1"/>
  <c r="P280" i="1"/>
  <c r="U279" i="1"/>
  <c r="P279" i="1"/>
  <c r="U278" i="1"/>
  <c r="P278" i="1"/>
  <c r="U277" i="1"/>
  <c r="P277" i="1"/>
  <c r="U276" i="1"/>
  <c r="P276" i="1"/>
  <c r="U275" i="1"/>
  <c r="P275" i="1"/>
  <c r="U274" i="1"/>
  <c r="P274" i="1"/>
  <c r="U273" i="1"/>
  <c r="P273" i="1"/>
  <c r="U272" i="1"/>
  <c r="P272" i="1"/>
  <c r="U271" i="1"/>
  <c r="P271" i="1"/>
  <c r="U270" i="1"/>
  <c r="P270" i="1"/>
  <c r="U269" i="1"/>
  <c r="P269" i="1"/>
  <c r="U268" i="1"/>
  <c r="P268" i="1"/>
  <c r="U267" i="1"/>
  <c r="P267" i="1"/>
  <c r="U266" i="1"/>
  <c r="P266" i="1"/>
  <c r="U265" i="1"/>
  <c r="P265" i="1"/>
  <c r="U264" i="1"/>
  <c r="P264" i="1"/>
  <c r="U263" i="1"/>
  <c r="P263" i="1"/>
  <c r="U262" i="1"/>
  <c r="P262" i="1"/>
  <c r="U261" i="1"/>
  <c r="P261" i="1"/>
  <c r="U260" i="1"/>
  <c r="P260" i="1"/>
  <c r="U259" i="1"/>
  <c r="P259" i="1"/>
  <c r="U258" i="1"/>
  <c r="P258" i="1"/>
  <c r="U257" i="1"/>
  <c r="P257" i="1"/>
  <c r="U256" i="1"/>
  <c r="P256" i="1"/>
  <c r="U255" i="1"/>
  <c r="P255" i="1"/>
  <c r="U254" i="1"/>
  <c r="P254" i="1"/>
  <c r="U253" i="1"/>
  <c r="P253" i="1"/>
  <c r="U252" i="1"/>
  <c r="P252" i="1"/>
  <c r="U251" i="1"/>
  <c r="P251" i="1"/>
  <c r="U250" i="1"/>
  <c r="P250" i="1"/>
  <c r="U249" i="1"/>
  <c r="P249" i="1"/>
  <c r="U248" i="1"/>
  <c r="P248" i="1"/>
  <c r="U247" i="1"/>
  <c r="P247" i="1"/>
  <c r="U246" i="1"/>
  <c r="P246" i="1"/>
  <c r="U245" i="1"/>
  <c r="P245" i="1"/>
  <c r="U244" i="1"/>
  <c r="P244" i="1"/>
  <c r="U243" i="1"/>
  <c r="P243" i="1"/>
  <c r="U242" i="1"/>
  <c r="P242" i="1"/>
  <c r="U241" i="1"/>
  <c r="P241" i="1"/>
  <c r="U240" i="1"/>
  <c r="P240" i="1"/>
  <c r="U239" i="1"/>
  <c r="P239" i="1"/>
  <c r="U238" i="1"/>
  <c r="P238" i="1"/>
  <c r="U237" i="1"/>
  <c r="P237" i="1"/>
  <c r="U236" i="1"/>
  <c r="P236" i="1"/>
  <c r="U235" i="1"/>
  <c r="P235" i="1"/>
  <c r="U234" i="1"/>
  <c r="P234" i="1"/>
  <c r="U233" i="1"/>
  <c r="P233" i="1"/>
  <c r="U232" i="1"/>
  <c r="P232" i="1"/>
  <c r="U231" i="1"/>
  <c r="P231" i="1"/>
  <c r="U230" i="1"/>
  <c r="P230" i="1"/>
  <c r="U229" i="1"/>
  <c r="P229" i="1"/>
  <c r="U228" i="1"/>
  <c r="P228" i="1"/>
  <c r="U227" i="1"/>
  <c r="P227" i="1"/>
  <c r="U226" i="1"/>
  <c r="P226" i="1"/>
  <c r="U225" i="1"/>
  <c r="P225" i="1"/>
  <c r="U224" i="1"/>
  <c r="P224" i="1"/>
  <c r="U223" i="1"/>
  <c r="P223" i="1"/>
  <c r="U222" i="1"/>
  <c r="P222" i="1"/>
  <c r="U221" i="1"/>
  <c r="P221" i="1"/>
  <c r="U220" i="1"/>
  <c r="P220" i="1"/>
  <c r="U219" i="1"/>
  <c r="P219" i="1"/>
  <c r="U218" i="1"/>
  <c r="P218" i="1"/>
  <c r="U217" i="1"/>
  <c r="P217" i="1"/>
  <c r="U216" i="1"/>
  <c r="P216" i="1"/>
  <c r="U215" i="1"/>
  <c r="P215" i="1"/>
  <c r="U214" i="1"/>
  <c r="P214" i="1"/>
  <c r="U213" i="1"/>
  <c r="P213" i="1"/>
  <c r="U212" i="1"/>
  <c r="P212" i="1"/>
  <c r="U211" i="1"/>
  <c r="P211" i="1"/>
  <c r="U210" i="1"/>
  <c r="P210" i="1"/>
  <c r="U209" i="1"/>
  <c r="P209" i="1"/>
  <c r="U208" i="1"/>
  <c r="P208" i="1"/>
  <c r="U207" i="1"/>
  <c r="P207" i="1"/>
  <c r="U206" i="1"/>
  <c r="P206" i="1"/>
  <c r="U205" i="1"/>
  <c r="P205" i="1"/>
  <c r="U204" i="1"/>
  <c r="P204" i="1"/>
  <c r="U203" i="1"/>
  <c r="P203" i="1"/>
  <c r="U202" i="1"/>
  <c r="P202" i="1"/>
  <c r="U201" i="1"/>
  <c r="P201" i="1"/>
  <c r="U200" i="1"/>
  <c r="P200" i="1"/>
  <c r="U199" i="1"/>
  <c r="P199" i="1"/>
  <c r="U198" i="1"/>
  <c r="P198" i="1"/>
  <c r="U197" i="1"/>
  <c r="P197" i="1"/>
  <c r="U196" i="1"/>
  <c r="P196" i="1"/>
  <c r="U195" i="1"/>
  <c r="P195" i="1"/>
  <c r="U194" i="1"/>
  <c r="P194" i="1"/>
  <c r="U193" i="1"/>
  <c r="P193" i="1"/>
  <c r="U192" i="1"/>
  <c r="P192" i="1"/>
  <c r="U191" i="1"/>
  <c r="P191" i="1"/>
  <c r="U190" i="1"/>
  <c r="P190" i="1"/>
  <c r="U189" i="1"/>
  <c r="P189" i="1"/>
  <c r="U188" i="1"/>
  <c r="P188" i="1"/>
  <c r="U187" i="1"/>
  <c r="P187" i="1"/>
  <c r="U186" i="1"/>
  <c r="P186" i="1"/>
  <c r="U185" i="1"/>
  <c r="P185" i="1"/>
  <c r="U184" i="1"/>
  <c r="P184" i="1"/>
  <c r="U183" i="1"/>
  <c r="P183" i="1"/>
  <c r="U182" i="1"/>
  <c r="P182" i="1"/>
  <c r="U181" i="1"/>
  <c r="P181" i="1"/>
  <c r="U180" i="1"/>
  <c r="P180" i="1"/>
  <c r="U179" i="1"/>
  <c r="P179" i="1"/>
  <c r="U178" i="1"/>
  <c r="P178" i="1"/>
  <c r="U177" i="1"/>
  <c r="P177" i="1"/>
  <c r="U176" i="1"/>
  <c r="P176" i="1"/>
  <c r="U175" i="1"/>
  <c r="P175" i="1"/>
  <c r="U174" i="1"/>
  <c r="P174" i="1"/>
  <c r="U173" i="1"/>
  <c r="P173" i="1"/>
  <c r="U172" i="1"/>
  <c r="P172" i="1"/>
  <c r="U171" i="1"/>
  <c r="P171" i="1"/>
  <c r="U170" i="1"/>
  <c r="P170" i="1"/>
  <c r="U169" i="1"/>
  <c r="P169" i="1"/>
  <c r="U168" i="1"/>
  <c r="P168" i="1"/>
  <c r="U167" i="1"/>
  <c r="P167" i="1"/>
  <c r="U166" i="1"/>
  <c r="P166" i="1"/>
  <c r="U165" i="1"/>
  <c r="P165" i="1"/>
  <c r="U164" i="1"/>
  <c r="P164" i="1"/>
  <c r="U163" i="1"/>
  <c r="P163" i="1"/>
  <c r="U162" i="1"/>
  <c r="P162" i="1"/>
  <c r="U161" i="1"/>
  <c r="P161" i="1"/>
  <c r="U160" i="1"/>
  <c r="P160" i="1"/>
  <c r="U159" i="1"/>
  <c r="P159" i="1"/>
  <c r="U158" i="1"/>
  <c r="P158" i="1"/>
  <c r="U157" i="1"/>
  <c r="P157" i="1"/>
  <c r="U156" i="1"/>
  <c r="P156" i="1"/>
  <c r="U155" i="1"/>
  <c r="P155" i="1"/>
  <c r="U154" i="1"/>
  <c r="P154" i="1"/>
  <c r="U153" i="1"/>
  <c r="P153" i="1"/>
  <c r="U152" i="1"/>
  <c r="P152" i="1"/>
  <c r="U151" i="1"/>
  <c r="P151" i="1"/>
  <c r="U150" i="1"/>
  <c r="P150" i="1"/>
  <c r="U149" i="1"/>
  <c r="P149" i="1"/>
  <c r="U148" i="1"/>
  <c r="P148" i="1"/>
  <c r="U147" i="1"/>
  <c r="P147" i="1"/>
  <c r="U146" i="1"/>
  <c r="P146" i="1"/>
  <c r="U145" i="1"/>
  <c r="P145" i="1"/>
  <c r="U144" i="1"/>
  <c r="P144" i="1"/>
  <c r="U143" i="1"/>
  <c r="P143" i="1"/>
  <c r="U142" i="1"/>
  <c r="P142" i="1"/>
  <c r="U141" i="1"/>
  <c r="P141" i="1"/>
  <c r="U140" i="1"/>
  <c r="P140" i="1"/>
  <c r="U139" i="1"/>
  <c r="P139" i="1"/>
  <c r="U138" i="1"/>
  <c r="P138" i="1"/>
  <c r="U137" i="1"/>
  <c r="P137" i="1"/>
  <c r="U136" i="1"/>
  <c r="P136" i="1"/>
  <c r="U135" i="1"/>
  <c r="P135" i="1"/>
  <c r="U134" i="1"/>
  <c r="P134" i="1"/>
  <c r="U133" i="1"/>
  <c r="P133" i="1"/>
  <c r="U132" i="1"/>
  <c r="P132" i="1"/>
  <c r="U131" i="1"/>
  <c r="P131" i="1"/>
  <c r="U130" i="1"/>
  <c r="P130" i="1"/>
  <c r="U129" i="1"/>
  <c r="P129" i="1"/>
  <c r="U128" i="1"/>
  <c r="P128" i="1"/>
  <c r="U127" i="1"/>
  <c r="P127" i="1"/>
  <c r="U126" i="1"/>
  <c r="P126" i="1"/>
  <c r="U125" i="1"/>
  <c r="P125" i="1"/>
  <c r="U124" i="1"/>
  <c r="P124" i="1"/>
  <c r="U123" i="1"/>
  <c r="P123" i="1"/>
  <c r="U122" i="1"/>
  <c r="P122" i="1"/>
  <c r="U121" i="1"/>
  <c r="P121" i="1"/>
  <c r="U120" i="1"/>
  <c r="P120" i="1"/>
  <c r="U119" i="1"/>
  <c r="P119" i="1"/>
  <c r="U118" i="1"/>
  <c r="P118" i="1"/>
  <c r="U117" i="1"/>
  <c r="P117" i="1"/>
  <c r="U116" i="1"/>
  <c r="P116" i="1"/>
  <c r="U115" i="1"/>
  <c r="P115" i="1"/>
  <c r="U114" i="1"/>
  <c r="P114" i="1"/>
  <c r="U113" i="1"/>
  <c r="P113" i="1"/>
  <c r="U112" i="1"/>
  <c r="P112" i="1"/>
  <c r="U111" i="1"/>
  <c r="P111" i="1"/>
  <c r="U110" i="1"/>
  <c r="P110" i="1"/>
  <c r="U109" i="1"/>
  <c r="P109" i="1"/>
  <c r="U108" i="1"/>
  <c r="P108" i="1"/>
  <c r="U107" i="1"/>
  <c r="P107" i="1"/>
  <c r="U106" i="1"/>
  <c r="P106" i="1"/>
  <c r="U105" i="1"/>
  <c r="P105" i="1"/>
  <c r="U104" i="1"/>
  <c r="P104" i="1"/>
  <c r="U103" i="1"/>
  <c r="P103" i="1"/>
  <c r="U102" i="1"/>
  <c r="P102" i="1"/>
  <c r="U101" i="1"/>
  <c r="P101" i="1"/>
  <c r="U100" i="1"/>
  <c r="P100" i="1"/>
  <c r="U99" i="1"/>
  <c r="P99" i="1"/>
  <c r="U98" i="1"/>
  <c r="P98" i="1"/>
  <c r="U97" i="1"/>
  <c r="P97" i="1"/>
  <c r="U96" i="1"/>
  <c r="P96" i="1"/>
  <c r="U95" i="1"/>
  <c r="P95" i="1"/>
  <c r="U94" i="1"/>
  <c r="P94" i="1"/>
  <c r="U93" i="1"/>
  <c r="P93" i="1"/>
  <c r="U92" i="1"/>
  <c r="P92" i="1"/>
  <c r="U91" i="1"/>
  <c r="P91" i="1"/>
  <c r="U90" i="1"/>
  <c r="P90" i="1"/>
  <c r="U89" i="1"/>
  <c r="P89" i="1"/>
  <c r="U88" i="1"/>
  <c r="P88" i="1"/>
  <c r="U87" i="1"/>
  <c r="P87" i="1"/>
  <c r="U86" i="1"/>
  <c r="P86" i="1"/>
  <c r="U85" i="1"/>
  <c r="P85" i="1"/>
  <c r="U84" i="1"/>
  <c r="P84" i="1"/>
  <c r="U83" i="1"/>
  <c r="P83" i="1"/>
  <c r="U82" i="1"/>
  <c r="P82" i="1"/>
  <c r="U81" i="1"/>
  <c r="P81" i="1"/>
  <c r="U80" i="1"/>
  <c r="P80" i="1"/>
  <c r="U79" i="1"/>
  <c r="P79" i="1"/>
  <c r="U78" i="1"/>
  <c r="P78" i="1"/>
  <c r="U77" i="1"/>
  <c r="P77" i="1"/>
  <c r="U76" i="1"/>
  <c r="P76" i="1"/>
  <c r="U75" i="1"/>
  <c r="P75" i="1"/>
  <c r="U74" i="1"/>
  <c r="P74" i="1"/>
  <c r="U73" i="1"/>
  <c r="P73" i="1"/>
  <c r="U72" i="1"/>
  <c r="P72" i="1"/>
  <c r="U71" i="1"/>
  <c r="P71" i="1"/>
  <c r="U70" i="1"/>
  <c r="P70" i="1"/>
  <c r="U69" i="1"/>
  <c r="P69" i="1"/>
  <c r="U68" i="1"/>
  <c r="P68" i="1"/>
  <c r="U67" i="1"/>
  <c r="P67" i="1"/>
  <c r="U66" i="1"/>
  <c r="P66" i="1"/>
  <c r="U65" i="1"/>
  <c r="P65" i="1"/>
  <c r="U64" i="1"/>
  <c r="P64" i="1"/>
  <c r="U63" i="1"/>
  <c r="P63" i="1"/>
  <c r="U62" i="1"/>
  <c r="P62" i="1"/>
  <c r="U61" i="1"/>
  <c r="P61" i="1"/>
  <c r="U60" i="1"/>
  <c r="P60" i="1"/>
  <c r="U59" i="1"/>
  <c r="P59" i="1"/>
  <c r="U58" i="1"/>
  <c r="P58" i="1"/>
  <c r="U57" i="1"/>
  <c r="P57" i="1"/>
  <c r="U56" i="1"/>
  <c r="P56" i="1"/>
  <c r="U55" i="1"/>
  <c r="P55" i="1"/>
  <c r="U54" i="1"/>
  <c r="P54" i="1"/>
  <c r="U53" i="1"/>
  <c r="P53" i="1"/>
  <c r="U52" i="1"/>
  <c r="P52" i="1"/>
  <c r="U51" i="1"/>
  <c r="P51" i="1"/>
  <c r="U50" i="1"/>
  <c r="P50" i="1"/>
  <c r="U49" i="1"/>
  <c r="P49" i="1"/>
  <c r="U48" i="1"/>
  <c r="P48" i="1"/>
  <c r="U47" i="1"/>
  <c r="P47" i="1"/>
  <c r="U46" i="1"/>
  <c r="P46" i="1"/>
  <c r="U45" i="1"/>
  <c r="P45" i="1"/>
  <c r="U44" i="1"/>
  <c r="P44" i="1"/>
  <c r="U43" i="1"/>
  <c r="P43" i="1"/>
  <c r="U42" i="1"/>
  <c r="P42" i="1"/>
  <c r="U41" i="1"/>
  <c r="P41" i="1"/>
  <c r="U40" i="1"/>
  <c r="P40" i="1"/>
  <c r="U39" i="1"/>
  <c r="P39" i="1"/>
  <c r="U38" i="1"/>
  <c r="P38" i="1"/>
  <c r="U37" i="1"/>
  <c r="P37" i="1"/>
  <c r="U36" i="1"/>
  <c r="P36" i="1"/>
  <c r="U35" i="1"/>
  <c r="P35" i="1"/>
  <c r="U34" i="1"/>
  <c r="P34" i="1"/>
  <c r="U33" i="1"/>
  <c r="P33" i="1"/>
  <c r="U32" i="1"/>
  <c r="P32" i="1"/>
  <c r="U31" i="1"/>
  <c r="P31" i="1"/>
  <c r="U30" i="1"/>
  <c r="P30" i="1"/>
  <c r="U29" i="1"/>
  <c r="P29" i="1"/>
  <c r="U28" i="1"/>
  <c r="P28" i="1"/>
  <c r="U27" i="1"/>
  <c r="P27" i="1"/>
  <c r="U26" i="1"/>
  <c r="P26" i="1"/>
  <c r="U25" i="1"/>
  <c r="P25" i="1"/>
  <c r="U24" i="1"/>
  <c r="P24" i="1"/>
  <c r="U23" i="1"/>
  <c r="P23" i="1"/>
  <c r="U22" i="1"/>
  <c r="P22" i="1"/>
  <c r="U21" i="1"/>
  <c r="P21" i="1"/>
  <c r="U20" i="1"/>
  <c r="P20" i="1"/>
  <c r="U19" i="1"/>
  <c r="P19" i="1"/>
  <c r="U18" i="1"/>
  <c r="P18" i="1"/>
  <c r="U17" i="1"/>
  <c r="P17" i="1"/>
  <c r="U16" i="1"/>
  <c r="P16" i="1"/>
  <c r="U15" i="1"/>
  <c r="P15" i="1"/>
  <c r="U14" i="1"/>
  <c r="P14" i="1"/>
  <c r="U13" i="1"/>
  <c r="P13" i="1"/>
  <c r="U12" i="1"/>
  <c r="P12" i="1"/>
  <c r="U11" i="1"/>
  <c r="P11" i="1"/>
  <c r="U10" i="1"/>
  <c r="P10" i="1"/>
  <c r="U9" i="1"/>
  <c r="P9" i="1"/>
  <c r="U8" i="1"/>
  <c r="P8" i="1"/>
  <c r="U7" i="1"/>
  <c r="P7" i="1"/>
</calcChain>
</file>

<file path=xl/sharedStrings.xml><?xml version="1.0" encoding="utf-8"?>
<sst xmlns="http://schemas.openxmlformats.org/spreadsheetml/2006/main" count="21284" uniqueCount="6959">
  <si>
    <t>Для правильной обработки</t>
  </si>
  <si>
    <t>заказа, эту колонку лучше</t>
  </si>
  <si>
    <t xml:space="preserve">НЕ ТРОГАТЬ !!! </t>
  </si>
  <si>
    <t>Актуальный прайс Рипол 30-04-26</t>
  </si>
  <si>
    <t>Укажите вашу скидку:</t>
  </si>
  <si>
    <t>Всего заказано на сумму:</t>
  </si>
  <si>
    <t>*) Новинки и допечатки выделены жирным шрифтом</t>
  </si>
  <si>
    <t>**) Просим Вас, количество заказанных книг указывать только в штуках</t>
  </si>
  <si>
    <t>Новинка</t>
  </si>
  <si>
    <t>Кат</t>
  </si>
  <si>
    <t>Код книги</t>
  </si>
  <si>
    <t>Серия</t>
  </si>
  <si>
    <t>Название</t>
  </si>
  <si>
    <t>Обложка</t>
  </si>
  <si>
    <t>Автор</t>
  </si>
  <si>
    <t>Формат</t>
  </si>
  <si>
    <t>Страниц</t>
  </si>
  <si>
    <t>Издательство</t>
  </si>
  <si>
    <t>Второе издательство</t>
  </si>
  <si>
    <t>Совметсный партнер</t>
  </si>
  <si>
    <t>Год</t>
  </si>
  <si>
    <t>Переплет</t>
  </si>
  <si>
    <t>Уп</t>
  </si>
  <si>
    <t>Цена</t>
  </si>
  <si>
    <t>Заказ</t>
  </si>
  <si>
    <t>ISBN</t>
  </si>
  <si>
    <t>EAN</t>
  </si>
  <si>
    <t>НДС</t>
  </si>
  <si>
    <t>ЦенаБНДС</t>
  </si>
  <si>
    <t>Вес</t>
  </si>
  <si>
    <t>КодКТК</t>
  </si>
  <si>
    <t>КТК</t>
  </si>
  <si>
    <t>Полное название</t>
  </si>
  <si>
    <t>Ограничение возраста</t>
  </si>
  <si>
    <t>Дата первого поступления</t>
  </si>
  <si>
    <t>Раздел</t>
  </si>
  <si>
    <t>Тематика</t>
  </si>
  <si>
    <t>СубТема</t>
  </si>
  <si>
    <t>Тип бумаги</t>
  </si>
  <si>
    <t>Аннотация</t>
  </si>
  <si>
    <t>КодКн</t>
  </si>
  <si>
    <t>Гриф</t>
  </si>
  <si>
    <t xml:space="preserve">11509670            </t>
  </si>
  <si>
    <t>300 лет Российской Прокуратуры. 3-е изд. Звягинцев А.Г.</t>
  </si>
  <si>
    <t>Звягинцев А.Г.</t>
  </si>
  <si>
    <t>60х90/8</t>
  </si>
  <si>
    <t>РИПОЛ Классик</t>
  </si>
  <si>
    <t>2025</t>
  </si>
  <si>
    <t>П</t>
  </si>
  <si>
    <t xml:space="preserve"> </t>
  </si>
  <si>
    <t>978-5-386-15356-4</t>
  </si>
  <si>
    <t>9785386153564</t>
  </si>
  <si>
    <t>300 лет Российской Прокуратуры. 3-е изд</t>
  </si>
  <si>
    <t>16+</t>
  </si>
  <si>
    <t>Право. Юридические науки</t>
  </si>
  <si>
    <t>Правоохранительные органы</t>
  </si>
  <si>
    <t>Прокуратура</t>
  </si>
  <si>
    <t>мелованная</t>
  </si>
  <si>
    <t xml:space="preserve">11934350            </t>
  </si>
  <si>
    <t>Альтернатива. Журавский А.В.</t>
  </si>
  <si>
    <t>Журавский А.В.</t>
  </si>
  <si>
    <t>60х90/16</t>
  </si>
  <si>
    <t>2026</t>
  </si>
  <si>
    <t>978-5-386-15523-0</t>
  </si>
  <si>
    <t>9785386155230</t>
  </si>
  <si>
    <t>Альтернатива</t>
  </si>
  <si>
    <t>Художественная литература</t>
  </si>
  <si>
    <t>Фантастика. Мистика. Ужасы</t>
  </si>
  <si>
    <t>Русская фантастика</t>
  </si>
  <si>
    <t>офсетная</t>
  </si>
  <si>
    <t xml:space="preserve">11962340            </t>
  </si>
  <si>
    <t>Ангелы из Зюзино. Френкель А.</t>
  </si>
  <si>
    <t>Френкель А.</t>
  </si>
  <si>
    <t>978-5-386-15566-7</t>
  </si>
  <si>
    <t>9785386155667</t>
  </si>
  <si>
    <t>Ангелы из Зюзино</t>
  </si>
  <si>
    <t>18+</t>
  </si>
  <si>
    <t>Русская литература</t>
  </si>
  <si>
    <t>Современная литература</t>
  </si>
  <si>
    <t xml:space="preserve">12054140            </t>
  </si>
  <si>
    <t>Анти-венчур. Как работает финансирование стартапов в США и почему на смену венчурому капиталу приходят новые модели. Роббинс В</t>
  </si>
  <si>
    <t>Роббинс В</t>
  </si>
  <si>
    <t>70х100/16</t>
  </si>
  <si>
    <t>978-5-386-15543-8</t>
  </si>
  <si>
    <t>9785386155438</t>
  </si>
  <si>
    <t>Анти-венчур. Как работает финансирование стартапов в США и почему на смену венчурому капиталу приходят новые модели</t>
  </si>
  <si>
    <t>Экономика. Экономические науки</t>
  </si>
  <si>
    <t>Экономика</t>
  </si>
  <si>
    <t>Экономика зарубежных стран</t>
  </si>
  <si>
    <t>11657470</t>
  </si>
  <si>
    <t>Анти-Эдип. Капитализм и Шизофрения: Т. 1; Тысяча плато. Капитализм и Шизофрения: Т. 2 (комплект из 2-х книг). Делез Ж., Гваттари П.-Ф</t>
  </si>
  <si>
    <t>Делез Ж., Гваттари П.-Ф</t>
  </si>
  <si>
    <t>978-5-521-84451-7</t>
  </si>
  <si>
    <t>9785521844517</t>
  </si>
  <si>
    <t>Анти-Эдип. Капитализм и Шизофрения: Т. 1; Тысяча плато. Капитализм и Шизофрения: Т. 2 (комплект из 2-х книг)</t>
  </si>
  <si>
    <t>Гуманитарные науки</t>
  </si>
  <si>
    <t>Философские науки</t>
  </si>
  <si>
    <t>Прикладная философия</t>
  </si>
  <si>
    <t xml:space="preserve">11792080            </t>
  </si>
  <si>
    <t>Бахыт Кенжеев. Избранное. 1972-2022. Кенжеев Б.Ш.</t>
  </si>
  <si>
    <t>Кенжеев Б.Ш.</t>
  </si>
  <si>
    <t>978-5-386-15455-4</t>
  </si>
  <si>
    <t>9785386154554</t>
  </si>
  <si>
    <t>Бахыт Кенжеев. Избранное. 1972-2022</t>
  </si>
  <si>
    <t>Поэзия</t>
  </si>
  <si>
    <t>Русская поэзия</t>
  </si>
  <si>
    <t xml:space="preserve">11462850            </t>
  </si>
  <si>
    <t>Бунт. Как разрешить себе быть плохим. Скрябин Р.А.</t>
  </si>
  <si>
    <t>Скрябин Р.А.</t>
  </si>
  <si>
    <t>978-5-386-15236-9</t>
  </si>
  <si>
    <t>9785386152369</t>
  </si>
  <si>
    <t>Бунт. Как разрешить себе быть плохим</t>
  </si>
  <si>
    <t>Психология</t>
  </si>
  <si>
    <t>Психология личности. Характер. Личностный рост</t>
  </si>
  <si>
    <t>11757290</t>
  </si>
  <si>
    <t>Бюро темных дел; Бюро темных дел -2. Призрак Викария (комплект из 2-х книг). Фуасье Э.</t>
  </si>
  <si>
    <t>Фуасье Э.</t>
  </si>
  <si>
    <t>978-5-8853-6744-8</t>
  </si>
  <si>
    <t>9785885367448</t>
  </si>
  <si>
    <t>Бюро темных дел; Бюро темных дел -2. Призрак Викария (комплект из 2-х книг)</t>
  </si>
  <si>
    <t>Детективы. Боевики. Триллеры</t>
  </si>
  <si>
    <t>Зарубежный детектив</t>
  </si>
  <si>
    <t xml:space="preserve">11943650            </t>
  </si>
  <si>
    <t>В стране уходящего детства: школьная повесть. Санаев А.</t>
  </si>
  <si>
    <t>Санаев А.</t>
  </si>
  <si>
    <t>978-5-386-15529-2</t>
  </si>
  <si>
    <t>9785386155292</t>
  </si>
  <si>
    <t>В стране уходящего детства: школьная повесть</t>
  </si>
  <si>
    <t>12+</t>
  </si>
  <si>
    <t xml:space="preserve">11647160            </t>
  </si>
  <si>
    <t>Верь/не верь. Борисова И.</t>
  </si>
  <si>
    <t>Борисова И.</t>
  </si>
  <si>
    <t>978-5-386-15222-2</t>
  </si>
  <si>
    <t>9785386152222</t>
  </si>
  <si>
    <t>Верь/не верь</t>
  </si>
  <si>
    <t xml:space="preserve">12029760            </t>
  </si>
  <si>
    <t>Восьмерки: роман. Миллер Дж.</t>
  </si>
  <si>
    <t>Миллер Дж.</t>
  </si>
  <si>
    <t>Строки</t>
  </si>
  <si>
    <t>О</t>
  </si>
  <si>
    <t>978-5-386-15554-4</t>
  </si>
  <si>
    <t>9785386155544</t>
  </si>
  <si>
    <t>Восьмерки: роман</t>
  </si>
  <si>
    <t>Зарубежная литература</t>
  </si>
  <si>
    <t>Европейская литература</t>
  </si>
  <si>
    <t>11680480</t>
  </si>
  <si>
    <t>Вторая жена; Мой муж (комплект из 2-х книг). Мэй Л., Вентура М.</t>
  </si>
  <si>
    <t>Мэй Л., Вентура М.</t>
  </si>
  <si>
    <t>978-5-521-84829-4</t>
  </si>
  <si>
    <t>9785521848294</t>
  </si>
  <si>
    <t>Вторая жена; Мой муж (комплект из 2-х книг)</t>
  </si>
  <si>
    <t xml:space="preserve">11675640            </t>
  </si>
  <si>
    <t>Выкуси. Любовные похождения Макса и Вика. Кравченко Д.В.</t>
  </si>
  <si>
    <t>Кравченко Д.В.</t>
  </si>
  <si>
    <t>978-5-386-15417-2</t>
  </si>
  <si>
    <t>9785386154172</t>
  </si>
  <si>
    <t>Выкуси. Любовные похождения Макса и Вика</t>
  </si>
  <si>
    <t>11664080</t>
  </si>
  <si>
    <t>Голем; Аватара; Смятение (комплект из 3-х книг). Майринк Г., Мейчен А., Готье Т.</t>
  </si>
  <si>
    <t>Майринк Г., Мейчен А., Готье Т.</t>
  </si>
  <si>
    <t>84х108/32</t>
  </si>
  <si>
    <t>2023</t>
  </si>
  <si>
    <t>978-5-521-84480-7</t>
  </si>
  <si>
    <t>9785521844807</t>
  </si>
  <si>
    <t>Голем; Аватара; Смятение (комплект из 3-х книг)</t>
  </si>
  <si>
    <t>Мистика. Ужасы</t>
  </si>
  <si>
    <t xml:space="preserve">10290150            </t>
  </si>
  <si>
    <t>Дар тишины. Лайдинен Н.</t>
  </si>
  <si>
    <t>Лайдинен Н.</t>
  </si>
  <si>
    <t>2022</t>
  </si>
  <si>
    <t>978-5-386-14667-2</t>
  </si>
  <si>
    <t>9785386146672</t>
  </si>
  <si>
    <t>Дар тишины</t>
  </si>
  <si>
    <t>11664290</t>
  </si>
  <si>
    <t>Джентльмен с Медвежьей речки; Повесть о Роскошной и Манящей Равнине; Зов Ктулху (комплект из 3-х книг). Говард Р.И., Лавкрафт Г.Ф., Моррис У.</t>
  </si>
  <si>
    <t>Говард Р.И., Лавкрафт Г.Ф., Моррис У.</t>
  </si>
  <si>
    <t>2024</t>
  </si>
  <si>
    <t>978-5-521-84490-6</t>
  </si>
  <si>
    <t>9785521844906</t>
  </si>
  <si>
    <t>Джентльмен с Медвежьей речки; Повесть о Роскошной и Манящей Равнине; Зов Ктулху (комплект из 3-х книг)</t>
  </si>
  <si>
    <t>Фэнтези</t>
  </si>
  <si>
    <t xml:space="preserve">11708390            </t>
  </si>
  <si>
    <t>Дневник Эда. Мамон А.В</t>
  </si>
  <si>
    <t>Мамон А.В</t>
  </si>
  <si>
    <t>978-5-386-15422-6</t>
  </si>
  <si>
    <t>9785386154226</t>
  </si>
  <si>
    <t>Дневник Эда</t>
  </si>
  <si>
    <t>11680430</t>
  </si>
  <si>
    <t>Дочери судьбы; Город женщин (комплект из 2-х книг). Гилберт Э., Хайланд Т.</t>
  </si>
  <si>
    <t>Гилберт Э., Хайланд Т.</t>
  </si>
  <si>
    <t>76х100/32</t>
  </si>
  <si>
    <t>978-5-521-84813-3</t>
  </si>
  <si>
    <t>9785521848133</t>
  </si>
  <si>
    <t>Дочери судьбы; Город женщин (комплект из 2-х книг)</t>
  </si>
  <si>
    <t>Мировая проза и поэзия. Сборники</t>
  </si>
  <si>
    <t xml:space="preserve">11893880            </t>
  </si>
  <si>
    <t>Другой сценарий. Берг И.</t>
  </si>
  <si>
    <t>Берг И.</t>
  </si>
  <si>
    <t>978-5-386-15484-4</t>
  </si>
  <si>
    <t>9785386154844</t>
  </si>
  <si>
    <t>Другой сценарий</t>
  </si>
  <si>
    <t>11680400</t>
  </si>
  <si>
    <t>Женщина голод;  Женщина в библиотеке (комплект из 2-х книг). Джентилл С., Кода К.</t>
  </si>
  <si>
    <t>Джентилл С., Кода К.</t>
  </si>
  <si>
    <t>Эвербук</t>
  </si>
  <si>
    <t>978-5-521-84780-8</t>
  </si>
  <si>
    <t>9785521847808</t>
  </si>
  <si>
    <t>Женщина голод;  Женщина в библиотеке (комплект из 2-х книг)</t>
  </si>
  <si>
    <t xml:space="preserve">12038380            </t>
  </si>
  <si>
    <t>Живая душа: стихи. Лайдинен Н.</t>
  </si>
  <si>
    <t>978-5-386-15571-1</t>
  </si>
  <si>
    <t>9785386155711</t>
  </si>
  <si>
    <t>Живая душа: стихи</t>
  </si>
  <si>
    <t xml:space="preserve">11462130            </t>
  </si>
  <si>
    <t>Жизнь вопреки. Как жить с почечной недостаточностью. Бердникова О.А.</t>
  </si>
  <si>
    <t>Бердникова О.А.</t>
  </si>
  <si>
    <t>978-5-386-15295-6</t>
  </si>
  <si>
    <t>9785386152956</t>
  </si>
  <si>
    <t>Жизнь вопреки. Как жить с почечной недостаточностью</t>
  </si>
  <si>
    <t>Медицина</t>
  </si>
  <si>
    <t>Популярная и нетрадиционная медицина</t>
  </si>
  <si>
    <t>Болезни, их профилактика и лечение</t>
  </si>
  <si>
    <t>11663750</t>
  </si>
  <si>
    <t>Запретный лес; Сказание о Доме Вольфингов; Регент Севера (комплект из 3-х книг). Моррис У., Бакен Дж., Моррис К.</t>
  </si>
  <si>
    <t>Моррис У., Бакен Дж., Моррис К.</t>
  </si>
  <si>
    <t>978-5-521-84471-5</t>
  </si>
  <si>
    <t>9785521844715</t>
  </si>
  <si>
    <t>Запретный лес; Сказание о Доме Вольфингов; Регент Севера (комплект из 3-х книг)</t>
  </si>
  <si>
    <t xml:space="preserve">11520930            </t>
  </si>
  <si>
    <t>Игра в Городки. Стоянов Ю.Н.</t>
  </si>
  <si>
    <t>Стоянов Ю.Н.</t>
  </si>
  <si>
    <t>978-5-386-15370-0</t>
  </si>
  <si>
    <t>9785386153700</t>
  </si>
  <si>
    <t>Игра в Городки</t>
  </si>
  <si>
    <t>Художествено-документальная проза</t>
  </si>
  <si>
    <t>Биографии. Мемуары</t>
  </si>
  <si>
    <t>Воспоминания. Дневники. Письма</t>
  </si>
  <si>
    <t xml:space="preserve">11566190            </t>
  </si>
  <si>
    <t>Идеальная мама. Хогенбум М</t>
  </si>
  <si>
    <t>Хогенбум М</t>
  </si>
  <si>
    <t>978-5-386-15298-7</t>
  </si>
  <si>
    <t>9785386152987</t>
  </si>
  <si>
    <t>Идеальная мама</t>
  </si>
  <si>
    <t>Популярная психология</t>
  </si>
  <si>
    <t xml:space="preserve">12041890            </t>
  </si>
  <si>
    <t>Издревле - и до сих пор. Алейников В.Д.</t>
  </si>
  <si>
    <t>Алейников В.Д.</t>
  </si>
  <si>
    <t>978-5-386-15569-8</t>
  </si>
  <si>
    <t>9785386155698</t>
  </si>
  <si>
    <t>Издревле - и до сих пор</t>
  </si>
  <si>
    <t xml:space="preserve">11392320            </t>
  </si>
  <si>
    <t>Интеллектуальный маркетинг. Гайд по цифровому маркетингу в эру искусственного интеллекта. Огарков А.И.</t>
  </si>
  <si>
    <t>Огарков А.И.</t>
  </si>
  <si>
    <t>978-5-386-15246-8</t>
  </si>
  <si>
    <t>9785386152468</t>
  </si>
  <si>
    <t>Интеллектуальный маркетинг. Гайд по цифровому маркетингу в эру искусственного интеллекта</t>
  </si>
  <si>
    <t>Маркетинг. Реклама. Связи с общественностью</t>
  </si>
  <si>
    <t>Маркетинг (общие вопросы)</t>
  </si>
  <si>
    <t xml:space="preserve">10378310            </t>
  </si>
  <si>
    <t>Искусство Меча Жизни. Кацудзин Кен. Кострикин А.И., Линдер И.Б.</t>
  </si>
  <si>
    <t>Кострикин А.И., Линдер И.Б.</t>
  </si>
  <si>
    <t>RUGRAM_РИПОЛ Классик</t>
  </si>
  <si>
    <t>978-5-386-14734-1</t>
  </si>
  <si>
    <t>9785386147341</t>
  </si>
  <si>
    <t>Искусство Меча Жизни. Кацудзин Кен</t>
  </si>
  <si>
    <t xml:space="preserve">11962330            </t>
  </si>
  <si>
    <t>Искушение искусственным интеллектом. Ильинский А.И.</t>
  </si>
  <si>
    <t>Ильинский А.И.</t>
  </si>
  <si>
    <t>978-5-386-15564-3</t>
  </si>
  <si>
    <t>9785386155643</t>
  </si>
  <si>
    <t>Искушение искусственным интеллектом</t>
  </si>
  <si>
    <t>Компьютерная литература</t>
  </si>
  <si>
    <t>Информатика. Информационные технологии</t>
  </si>
  <si>
    <t>Нейросети</t>
  </si>
  <si>
    <t xml:space="preserve">11291590            </t>
  </si>
  <si>
    <t>Искушение таланта. Березовский Н.В.</t>
  </si>
  <si>
    <t>Березовский Н.В.</t>
  </si>
  <si>
    <t>978-5-386-15182-9</t>
  </si>
  <si>
    <t>9785386151829</t>
  </si>
  <si>
    <t>Искушение таланта</t>
  </si>
  <si>
    <t xml:space="preserve">11293150            </t>
  </si>
  <si>
    <t>История масонов в Китае. Великий Архитектор для Поднебесной. Маслов А.А.</t>
  </si>
  <si>
    <t>Маслов А.А.</t>
  </si>
  <si>
    <t>978-5-386-15184-3</t>
  </si>
  <si>
    <t>9785386151843</t>
  </si>
  <si>
    <t>История масонов в Китае. Великий Архитектор для Поднебесной</t>
  </si>
  <si>
    <t>Религии. Эзотерика. Оккультизм</t>
  </si>
  <si>
    <t>Другие религии и культы</t>
  </si>
  <si>
    <t>Тайные религиозные общества и ордена</t>
  </si>
  <si>
    <t xml:space="preserve">11838520            </t>
  </si>
  <si>
    <t>История одной апатии. Переверзев С.</t>
  </si>
  <si>
    <t>Переверзев С.</t>
  </si>
  <si>
    <t>978-5-386-15481-3</t>
  </si>
  <si>
    <t>9785386154813</t>
  </si>
  <si>
    <t>История одной апатии</t>
  </si>
  <si>
    <t xml:space="preserve">12082460            </t>
  </si>
  <si>
    <t>Исцеление. Андилевко И.Г.</t>
  </si>
  <si>
    <t>Андилевко И.Г.</t>
  </si>
  <si>
    <t>978-5-386-15589-6</t>
  </si>
  <si>
    <t>9785386155896</t>
  </si>
  <si>
    <t>Исцеление</t>
  </si>
  <si>
    <t xml:space="preserve">11937280            </t>
  </si>
  <si>
    <t>Квартет Кандинской. Штерн С.В.</t>
  </si>
  <si>
    <t>Штерн С.В.</t>
  </si>
  <si>
    <t>978-5-386-15513-1</t>
  </si>
  <si>
    <t>9785386155131</t>
  </si>
  <si>
    <t>Квартет Кандинской</t>
  </si>
  <si>
    <t xml:space="preserve">11428720            </t>
  </si>
  <si>
    <t>Китайский мир. Корни и крона. Малявин В.В.</t>
  </si>
  <si>
    <t>Малявин В.В.</t>
  </si>
  <si>
    <t>978-5-386-15292-5</t>
  </si>
  <si>
    <t>9785386152925</t>
  </si>
  <si>
    <t>Китайский мир. Корни и крона</t>
  </si>
  <si>
    <t>История</t>
  </si>
  <si>
    <t>История отдельных стран</t>
  </si>
  <si>
    <t xml:space="preserve">10452500            </t>
  </si>
  <si>
    <t xml:space="preserve">Классическое таро Артура Уэйта (78 карт). </t>
  </si>
  <si>
    <t>978-5-386-14781-5</t>
  </si>
  <si>
    <t>9785386147815</t>
  </si>
  <si>
    <t>Классическое таро Артура Уэйта (78 карт)</t>
  </si>
  <si>
    <t>Эзотерика. Парапсихология. Тайны</t>
  </si>
  <si>
    <t>Гадания. Толкование снов. Тайны имени</t>
  </si>
  <si>
    <t>картон</t>
  </si>
  <si>
    <t>11375830</t>
  </si>
  <si>
    <t>Крик потревоженной тишины: В 2 кн. (комплект из 2-х книг). Дубравин М.</t>
  </si>
  <si>
    <t>Дубравин М.</t>
  </si>
  <si>
    <t>978-5-386-15204-8</t>
  </si>
  <si>
    <t>9785386152048</t>
  </si>
  <si>
    <t>Крик потревоженной тишины: В 2 кн. (комплект из 2-х книг)</t>
  </si>
  <si>
    <t xml:space="preserve">11862610            </t>
  </si>
  <si>
    <t>Кровавые скрижали японского милитаризма. Токийский и Хабаровский процессы. Звягинцев А.Г.</t>
  </si>
  <si>
    <t>978-5-386-15483-7</t>
  </si>
  <si>
    <t>9785386154837</t>
  </si>
  <si>
    <t>Кровавые скрижали японского милитаризма. Токийский и Хабаровский процессы</t>
  </si>
  <si>
    <t>Общественные науки</t>
  </si>
  <si>
    <t>Военное дело. Гражданская защита</t>
  </si>
  <si>
    <t>Военная история. История военных операций. Мемуары военачальников</t>
  </si>
  <si>
    <t>11782500</t>
  </si>
  <si>
    <t>Кровавый апельсин; 1795; Дочери мертвой империи; Вся твоя ложь; Убийство на летнем фестивале (комплект из 5-ти книг). Тайс Г., Натт-о-Даг Н., Уолтерс В.</t>
  </si>
  <si>
    <t>Тайс Г., Натт-о-Даг Н., Уолтерс В.</t>
  </si>
  <si>
    <t>978-5-8853-6989-3</t>
  </si>
  <si>
    <t>9785885369893</t>
  </si>
  <si>
    <t>Кровавый апельсин; 1795; Дочери мертвой империи; Вся твоя ложь; Убийство на летнем фестивале (комплект из 5-ти книг)</t>
  </si>
  <si>
    <t>Триллеры</t>
  </si>
  <si>
    <t xml:space="preserve">11791740            </t>
  </si>
  <si>
    <t>Легенда о Пиросмани. Маркаров В.</t>
  </si>
  <si>
    <t>Маркаров В.</t>
  </si>
  <si>
    <t>978-5-386-15448-6</t>
  </si>
  <si>
    <t>9785386154486</t>
  </si>
  <si>
    <t>Легенда о Пиросмани</t>
  </si>
  <si>
    <t>Биографии деятелей культуры и искусства</t>
  </si>
  <si>
    <t xml:space="preserve">10426170            </t>
  </si>
  <si>
    <t>Легенды нелегальной разведки. Из истории спецслужб. Линдер И.Б.</t>
  </si>
  <si>
    <t>Линдер И.Б.</t>
  </si>
  <si>
    <t>978-5-386-14777-8</t>
  </si>
  <si>
    <t>9785386147778</t>
  </si>
  <si>
    <t>Легенды нелегальной разведки. Из истории спецслужб</t>
  </si>
  <si>
    <t>Спецслужбы</t>
  </si>
  <si>
    <t xml:space="preserve">11964960            </t>
  </si>
  <si>
    <t>Легенды спецслужб. Люди и события. Линдер И.Б.</t>
  </si>
  <si>
    <t>978-5-386-15520-9</t>
  </si>
  <si>
    <t>9785386155209</t>
  </si>
  <si>
    <t>Легенды спецслужб. Люди и события</t>
  </si>
  <si>
    <t xml:space="preserve">11419990            </t>
  </si>
  <si>
    <t>Лес нас найдет. Лайонс М.</t>
  </si>
  <si>
    <t>Лайонс М.</t>
  </si>
  <si>
    <t>978-5-386-15287-1</t>
  </si>
  <si>
    <t>9785386152871</t>
  </si>
  <si>
    <t>Лес нас найдет</t>
  </si>
  <si>
    <t xml:space="preserve">12015860            </t>
  </si>
  <si>
    <t>Людоеды тоже люди. Гастелло Н.</t>
  </si>
  <si>
    <t>Гастелло Н.</t>
  </si>
  <si>
    <t>978-5-386-15512-4</t>
  </si>
  <si>
    <t>9785386155124</t>
  </si>
  <si>
    <t>Людоеды тоже люди</t>
  </si>
  <si>
    <t xml:space="preserve">11463080            </t>
  </si>
  <si>
    <t>Муравейник. Грушевский М.Д.</t>
  </si>
  <si>
    <t>Грушевский М.Д.</t>
  </si>
  <si>
    <t>978-5-386-15293-2</t>
  </si>
  <si>
    <t>9785386152932</t>
  </si>
  <si>
    <t>Муравейник</t>
  </si>
  <si>
    <t xml:space="preserve">11136510            </t>
  </si>
  <si>
    <t>Набор открыток "Вечера на хуторе близ Диканьки" (комплект из 10 шт.). Гоголь Н.В.</t>
  </si>
  <si>
    <t>Гоголь Н.В.</t>
  </si>
  <si>
    <t>70х100/32</t>
  </si>
  <si>
    <t>978-5-386-15111-9</t>
  </si>
  <si>
    <t>9785386151119</t>
  </si>
  <si>
    <t>Набор открыток "Вечера на хуторе близ Диканьки" (комплект из 10 шт.)</t>
  </si>
  <si>
    <t>Прочие издания</t>
  </si>
  <si>
    <t>11680470</t>
  </si>
  <si>
    <t>Население: одна; Масло (комплект из 2-х книг). Мун Э., Юзуки А.</t>
  </si>
  <si>
    <t>Мун Э., Юзуки А.</t>
  </si>
  <si>
    <t>978-5-521-84739-6</t>
  </si>
  <si>
    <t>9785521847396</t>
  </si>
  <si>
    <t>Население: одна; Масло (комплект из 2-х книг)</t>
  </si>
  <si>
    <t xml:space="preserve">11719420            </t>
  </si>
  <si>
    <t>Начальник, ты не прав. Смирнов Г.Б.</t>
  </si>
  <si>
    <t>Смирнов Г.Б.</t>
  </si>
  <si>
    <t>978-5-386-15437-0</t>
  </si>
  <si>
    <t>9785386154370</t>
  </si>
  <si>
    <t>Начальник, ты не прав</t>
  </si>
  <si>
    <t>Менеджмент</t>
  </si>
  <si>
    <t>Психология управления</t>
  </si>
  <si>
    <t xml:space="preserve">11742370            </t>
  </si>
  <si>
    <t>Невероятная подлинная история горгоны Медузы. Алеников В.М.</t>
  </si>
  <si>
    <t>Алеников В.М.</t>
  </si>
  <si>
    <t>978-5-386-15420-2</t>
  </si>
  <si>
    <t>9785386154202</t>
  </si>
  <si>
    <t>Невероятная подлинная история горгоны Медузы</t>
  </si>
  <si>
    <t xml:space="preserve">11758150            </t>
  </si>
  <si>
    <t>Нефть и мир. Кн. 1: "Семь сестер" - дом, который построил Джон (с супером). Крутаков Л.</t>
  </si>
  <si>
    <t>Крутаков Л.</t>
  </si>
  <si>
    <t>978-5-386-15426-4</t>
  </si>
  <si>
    <t>9785386154264</t>
  </si>
  <si>
    <t>Нефть и мир. Кн. 1: "Семь сестер" - дом, который построил Джон (с супером)</t>
  </si>
  <si>
    <t>Мировая экономика. Международные экономические отношения</t>
  </si>
  <si>
    <t xml:space="preserve">11815780            </t>
  </si>
  <si>
    <t>Нефть и мир. Кн. 1: "Семь сестер" - дом, который построил Джон. Крутаков Л.</t>
  </si>
  <si>
    <t>978-5-386-15482-0</t>
  </si>
  <si>
    <t>9785386154820</t>
  </si>
  <si>
    <t>Нефть и мир. Кн. 1: "Семь сестер" - дом, который построил Джон</t>
  </si>
  <si>
    <t>11680500</t>
  </si>
  <si>
    <t>Никогда не поздно стать счастливой; Есть, молиться, любить; Мосты округа Мэдисон; Улыбка зари; Во-первых, это красиво (комплект из 5-ти книг).. Гилберт Э., Уоллер Р.Дж., Хайке А.</t>
  </si>
  <si>
    <t>Гилберт Э., Уоллер Р.Дж., Хайке А.</t>
  </si>
  <si>
    <t>978-5-521-84734-1</t>
  </si>
  <si>
    <t>9785521847341</t>
  </si>
  <si>
    <t>Никогда не поздно стать счастливой; Есть, молиться, любить; Мосты округа Мэдисон; Улыбка зари; Во-первых, это красиво (комплект из 5-ти книг).</t>
  </si>
  <si>
    <t>11782470</t>
  </si>
  <si>
    <t>Один лишний труп; Монаший капюшон; Погребенная во льдах; Выкуп за мертвеца; Сокровенное таинство (комплект из 5-ти книг). Питерс Э.</t>
  </si>
  <si>
    <t>Питерс Э.</t>
  </si>
  <si>
    <t>978-5-8853-7065-3</t>
  </si>
  <si>
    <t>9785885370653</t>
  </si>
  <si>
    <t>Один лишний труп; Монаший капюшон; Погребенная во льдах; Выкуп за мертвеца; Сокровенное таинство (комплект из 5-ти книг)</t>
  </si>
  <si>
    <t xml:space="preserve">11582880            </t>
  </si>
  <si>
    <t>Оракул историй. Павлова Л.</t>
  </si>
  <si>
    <t>Павлова Л.</t>
  </si>
  <si>
    <t>978-5-386-15366-3</t>
  </si>
  <si>
    <t>9785386153663</t>
  </si>
  <si>
    <t>Оракул историй</t>
  </si>
  <si>
    <t xml:space="preserve">11627020            </t>
  </si>
  <si>
    <t>От акта к актерству. Руководство Яна Фабра для перформера XXI в. Фабр Я., Дрис Л., ван ден</t>
  </si>
  <si>
    <t>Фабр Я., Дрис Л., ван ден</t>
  </si>
  <si>
    <t>978-5-386-15190-4</t>
  </si>
  <si>
    <t>9785386151904</t>
  </si>
  <si>
    <t>От акта к актерству. Руководство Яна Фабра для перформера XXI в</t>
  </si>
  <si>
    <t>Искусство</t>
  </si>
  <si>
    <t>Музыка и зрелищные искусства</t>
  </si>
  <si>
    <t>Театр (драматический, музыкальный, кукольный)</t>
  </si>
  <si>
    <t xml:space="preserve">11116460            </t>
  </si>
  <si>
    <t>Открытки "Вий" и другие повести из цикла "Миргород". Гоголь Н.В.</t>
  </si>
  <si>
    <t>978-5-386-15110-2</t>
  </si>
  <si>
    <t>9785386151102</t>
  </si>
  <si>
    <t>Открытки "Вий" и другие повести из цикла "Миргород"</t>
  </si>
  <si>
    <t>Литературоведение</t>
  </si>
  <si>
    <t xml:space="preserve">11486970            </t>
  </si>
  <si>
    <t>Открытки "Портрет. Петербургские повести" набор 10 шт. Гоголь Н.В.</t>
  </si>
  <si>
    <t>978-5-386-15286-4</t>
  </si>
  <si>
    <t>9785386152864</t>
  </si>
  <si>
    <t>Открытки "Портрет. Петербургские повести" набор 10 шт</t>
  </si>
  <si>
    <t>Дом. Быт. Досуг</t>
  </si>
  <si>
    <t>Товары для школьников и студентов</t>
  </si>
  <si>
    <t xml:space="preserve">11576290            </t>
  </si>
  <si>
    <t>Под зонтом Аделаиды: роман. Пуэртолас Р.</t>
  </si>
  <si>
    <t>Пуэртолас Р.</t>
  </si>
  <si>
    <t>978-5-386-15135-5</t>
  </si>
  <si>
    <t>9785386151355</t>
  </si>
  <si>
    <t>Под зонтом Аделаиды: роман</t>
  </si>
  <si>
    <t xml:space="preserve">11532840            </t>
  </si>
  <si>
    <t>Под напряжением. Форж С.</t>
  </si>
  <si>
    <t>Форж С.</t>
  </si>
  <si>
    <t>978-5-386-15283-3</t>
  </si>
  <si>
    <t>9785386152833</t>
  </si>
  <si>
    <t>Под напряжением</t>
  </si>
  <si>
    <t>11664320</t>
  </si>
  <si>
    <t>Пожиратели душ; Король в Желтом; День Дьявола (комплект из 3-х  книг). Херли Э.М., Арсдейл П. Ван, Чамберс Р.</t>
  </si>
  <si>
    <t>Херли Э.М., Арсдейл П. Ван, Чамберс Р.</t>
  </si>
  <si>
    <t>978-5-521-84493-7</t>
  </si>
  <si>
    <t>9785521844937</t>
  </si>
  <si>
    <t>Пожиратели душ; Король в Желтом; День Дьявола (комплект из 3-х  книг)</t>
  </si>
  <si>
    <t xml:space="preserve">11109170            </t>
  </si>
  <si>
    <t>Политическая коррупция в Третьем рейхе. Грибов А.Ю.</t>
  </si>
  <si>
    <t>Грибов А.Ю.</t>
  </si>
  <si>
    <t>978-5-386-15042-6</t>
  </si>
  <si>
    <t>9785386150426</t>
  </si>
  <si>
    <t>Политическая коррупция в Третьем рейхе</t>
  </si>
  <si>
    <t>11680450</t>
  </si>
  <si>
    <t>Последнее слово; Камбэк (комплект из 2-х книг). Берчэл К., Чу Л.</t>
  </si>
  <si>
    <t>Берчэл К., Чу Л.</t>
  </si>
  <si>
    <t>978-5-521-84777-8</t>
  </si>
  <si>
    <t>9785521847778</t>
  </si>
  <si>
    <t>Последнее слово; Камбэк (комплект из 2-х книг)</t>
  </si>
  <si>
    <t>Сентиментальная проза</t>
  </si>
  <si>
    <t>Зарубежный сентиментальный роман</t>
  </si>
  <si>
    <t xml:space="preserve">11977380            </t>
  </si>
  <si>
    <t>Последний Туарег. Кн. 3. Васкес-Фигероа А.</t>
  </si>
  <si>
    <t>Васкес-Фигероа А.</t>
  </si>
  <si>
    <t>978-5-386-15518-6</t>
  </si>
  <si>
    <t>9785386155186</t>
  </si>
  <si>
    <t>Последний Туарег. Кн. 3</t>
  </si>
  <si>
    <t>Приключенческая проза</t>
  </si>
  <si>
    <t>Зарубежная приключенческая проза</t>
  </si>
  <si>
    <t xml:space="preserve">11220600            </t>
  </si>
  <si>
    <t>Пробужденное сознание. Цитаты для медитации. Толле Э.</t>
  </si>
  <si>
    <t>Толле Э.</t>
  </si>
  <si>
    <t>978-5-386-15132-4</t>
  </si>
  <si>
    <t>9785386151324</t>
  </si>
  <si>
    <t>Пробужденное сознание. Цитаты для медитации</t>
  </si>
  <si>
    <t>Духовные практики</t>
  </si>
  <si>
    <t xml:space="preserve">11800690            </t>
  </si>
  <si>
    <t>Простовещи. История мира через легендарные товары и любимые продукты. Минаев С.С., Файб А.</t>
  </si>
  <si>
    <t>Минаев С.С., Файб А.</t>
  </si>
  <si>
    <t>978-5-386-15469-1</t>
  </si>
  <si>
    <t>9785386154691</t>
  </si>
  <si>
    <t>Простовещи. История мира через легендарные товары и любимые продукты</t>
  </si>
  <si>
    <t>Источниковедение. Вспомогательные исторические дисциплины</t>
  </si>
  <si>
    <t>11866040</t>
  </si>
  <si>
    <t>Простовещи. История мира через легендарные товары и любимые продукты; Бунт и смута на Руси (комплект из 2-х книг). Минаев С.С., Файб А.</t>
  </si>
  <si>
    <t>978-5-8853-7851-2</t>
  </si>
  <si>
    <t>9785885378512</t>
  </si>
  <si>
    <t>Простовещи. История мира через легендарные товары и любимые продукты; Бунт и смута на Руси (комплект из 2-х книг)</t>
  </si>
  <si>
    <t>Всемирная история. История цивилизаций</t>
  </si>
  <si>
    <t xml:space="preserve">11799090            </t>
  </si>
  <si>
    <t>Путешествие в Элладу. Фрагментарный роман. Васильев В.Е., Ларская Е.М.</t>
  </si>
  <si>
    <t>Васильев В.Е., Ларская Е.М.</t>
  </si>
  <si>
    <t>60х84/16</t>
  </si>
  <si>
    <t>978-5-386-15461-5</t>
  </si>
  <si>
    <t>9785386154615</t>
  </si>
  <si>
    <t>Путешествие в Элладу. Фрагментарный роман</t>
  </si>
  <si>
    <t>Публицистика</t>
  </si>
  <si>
    <t>Художественная публицистика. Хроники событий</t>
  </si>
  <si>
    <t xml:space="preserve">11903060            </t>
  </si>
  <si>
    <t>Путь бессознательного. Все о гипнозе, регрессе и прошлых жизнях: практическое руководство. Полетаева Н.Н.</t>
  </si>
  <si>
    <t>Полетаева Н.Н.</t>
  </si>
  <si>
    <t>978-5-386-15485-1</t>
  </si>
  <si>
    <t>9785386154851</t>
  </si>
  <si>
    <t>Путь бессознательного. Все о гипнозе, регрессе и прошлых жизнях: практическое руководство</t>
  </si>
  <si>
    <t>Глубинная психология. Психоанализ</t>
  </si>
  <si>
    <t xml:space="preserve">11810990            </t>
  </si>
  <si>
    <t>Роковая Фемида. Трагические судьбы известных российских юристов. Звягинцев А.Г.</t>
  </si>
  <si>
    <t>978-5-386-15151-5</t>
  </si>
  <si>
    <t>9785386151515</t>
  </si>
  <si>
    <t>Роковая Фемида. Трагические судьбы известных российских юристов</t>
  </si>
  <si>
    <t>Право в целом. История и теория государства и права</t>
  </si>
  <si>
    <t>Научные биографии, воспоминания, избранные труды</t>
  </si>
  <si>
    <t>11782490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</si>
  <si>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книг0. Демчог В.В., Фабр Я., Дрис Л., ван ден</t>
  </si>
  <si>
    <t>Демчог В.В., Фабр Я., Дрис Л., ван ден</t>
  </si>
  <si>
    <t>978-5-8853-7033-2</t>
  </si>
  <si>
    <t>9785885370332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</si>
  <si>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</t>
  </si>
  <si>
    <t xml:space="preserve">12082510            </t>
  </si>
  <si>
    <t>Свои и не только. Сухотина И.</t>
  </si>
  <si>
    <t>Сухотина И.</t>
  </si>
  <si>
    <t>978-5-386-15612-1</t>
  </si>
  <si>
    <t>9785386156121</t>
  </si>
  <si>
    <t>Свои и не только</t>
  </si>
  <si>
    <t xml:space="preserve">12057120            </t>
  </si>
  <si>
    <t>Свои: сборник рассказов. Сухотина И.</t>
  </si>
  <si>
    <t>978-5-386-15592-6</t>
  </si>
  <si>
    <t>9785386155926</t>
  </si>
  <si>
    <t>Свои: сборник рассказов</t>
  </si>
  <si>
    <t xml:space="preserve">11798480            </t>
  </si>
  <si>
    <t>Семья. Шульц Г.</t>
  </si>
  <si>
    <t>Шульц Г.</t>
  </si>
  <si>
    <t>978-5-386-15449-3</t>
  </si>
  <si>
    <t>9785386154493</t>
  </si>
  <si>
    <t>Семья</t>
  </si>
  <si>
    <t xml:space="preserve">10466070            </t>
  </si>
  <si>
    <t>Сердце Кая. Рой О.Ю.</t>
  </si>
  <si>
    <t>Рой О.Ю.</t>
  </si>
  <si>
    <t>978-5-386-14762-4</t>
  </si>
  <si>
    <t>9785386147624</t>
  </si>
  <si>
    <t>Сердце Кая</t>
  </si>
  <si>
    <t>Детская литература</t>
  </si>
  <si>
    <t>Фантастика. Фэнтэзи. Ужастик</t>
  </si>
  <si>
    <t>11747030</t>
  </si>
  <si>
    <t>Сестры Мао (нов.). Маккри Г.</t>
  </si>
  <si>
    <t>Маккри Г.</t>
  </si>
  <si>
    <t>978-5-386-15456-1</t>
  </si>
  <si>
    <t>9785386154561</t>
  </si>
  <si>
    <t>Сестры Мао (нов.)</t>
  </si>
  <si>
    <t xml:space="preserve">11610420            </t>
  </si>
  <si>
    <t>Сестры Мао. Маккри Г.</t>
  </si>
  <si>
    <t>978-5-386-15154-6</t>
  </si>
  <si>
    <t>9785386151546</t>
  </si>
  <si>
    <t>Сестры Мао</t>
  </si>
  <si>
    <t>11664140</t>
  </si>
  <si>
    <t>Скорбь Сатаны; Астарта; Наоборот (комплект из 3-х книг). Гюисманс Ж.-К., Корелли М., Лоррен Ж.</t>
  </si>
  <si>
    <t>Гюисманс Ж.-К., Корелли М., Лоррен Ж.</t>
  </si>
  <si>
    <t>978-5-521-84483-8</t>
  </si>
  <si>
    <t>9785521844838</t>
  </si>
  <si>
    <t>Скорбь Сатаны; Астарта; Наоборот (комплект из 3-х книг)</t>
  </si>
  <si>
    <t xml:space="preserve">11519970            </t>
  </si>
  <si>
    <t>Соавторство. Бастиан А.</t>
  </si>
  <si>
    <t>Бастиан А.</t>
  </si>
  <si>
    <t>978-5-386-15218-5</t>
  </si>
  <si>
    <t>9785386152185</t>
  </si>
  <si>
    <t>Соавторство</t>
  </si>
  <si>
    <t>Русский детектив</t>
  </si>
  <si>
    <t xml:space="preserve">11536070            </t>
  </si>
  <si>
    <t>Созвездие Козлотура: повести, притчи. Искандер Ф.А.</t>
  </si>
  <si>
    <t>Искандер Ф.А.</t>
  </si>
  <si>
    <t>978-5-386-15318-2</t>
  </si>
  <si>
    <t>9785386153182</t>
  </si>
  <si>
    <t>Созвездие Козлотура: повести, притчи</t>
  </si>
  <si>
    <t>Русская литература советского периода (1917-1991 гг.)</t>
  </si>
  <si>
    <t xml:space="preserve">11964980            </t>
  </si>
  <si>
    <t>Спецслужбы России. Исторические очерки. Линдер И.Б.</t>
  </si>
  <si>
    <t>978-5-386-15519-3</t>
  </si>
  <si>
    <t>9785386155193</t>
  </si>
  <si>
    <t>Спецслужбы России. Исторические очерки</t>
  </si>
  <si>
    <t xml:space="preserve">11959200            </t>
  </si>
  <si>
    <t>Старьевщик. Рой О.Ю.</t>
  </si>
  <si>
    <t>978-5-386-15525-4</t>
  </si>
  <si>
    <t>9785386155254</t>
  </si>
  <si>
    <t>Старьевщик</t>
  </si>
  <si>
    <t xml:space="preserve">11959190            </t>
  </si>
  <si>
    <t>Старьевщица. Рой О.Ю.</t>
  </si>
  <si>
    <t>978-5-386-15535-3</t>
  </si>
  <si>
    <t>9785386155353</t>
  </si>
  <si>
    <t>Старьевщица</t>
  </si>
  <si>
    <t xml:space="preserve">10402780            </t>
  </si>
  <si>
    <t>Стейксизм. Точка в мифе о вкусах женщин и мужчин. Буаззуни Н.</t>
  </si>
  <si>
    <t>Буаззуни Н.</t>
  </si>
  <si>
    <t>978-5-386-14648-1</t>
  </si>
  <si>
    <t>9785386146481</t>
  </si>
  <si>
    <t>Стейксизм. Точка в мифе о вкусах женщин и мужчин</t>
  </si>
  <si>
    <t>Обществознание. Социология. Демография.</t>
  </si>
  <si>
    <t>Прикладная социология</t>
  </si>
  <si>
    <t xml:space="preserve">11536120            </t>
  </si>
  <si>
    <t>Стоянка человека: повести, рассказы. Искандер Ф.А.</t>
  </si>
  <si>
    <t>978-5-386-15319-9</t>
  </si>
  <si>
    <t>9785386153199</t>
  </si>
  <si>
    <t>Стоянка человека: повести, рассказы</t>
  </si>
  <si>
    <t xml:space="preserve">12039300            </t>
  </si>
  <si>
    <t>Страсти по Немухину. Самсонов С.А.</t>
  </si>
  <si>
    <t>Самсонов С.А.</t>
  </si>
  <si>
    <t>70х90/16</t>
  </si>
  <si>
    <t>978-5-386-15549-0</t>
  </si>
  <si>
    <t>9785386155490</t>
  </si>
  <si>
    <t>Страсти по Немухину</t>
  </si>
  <si>
    <t xml:space="preserve">11504400            </t>
  </si>
  <si>
    <t>Суд народов. Международный Нюрнбергский трибунал. Звягинцев А.Г.</t>
  </si>
  <si>
    <t>978-5-386-15355-7</t>
  </si>
  <si>
    <t>9785386153557</t>
  </si>
  <si>
    <t>Суд народов. Международный Нюрнбергский трибунал</t>
  </si>
  <si>
    <t>Международное право</t>
  </si>
  <si>
    <t>Международное публичное право</t>
  </si>
  <si>
    <t xml:space="preserve">11964950            </t>
  </si>
  <si>
    <t>Тайные войны спецслужб. Англосаксы и Ватикан. Линдер И.Б.</t>
  </si>
  <si>
    <t>978-5-386-15521-6</t>
  </si>
  <si>
    <t>9785386155216</t>
  </si>
  <si>
    <t>Тайные войны спецслужб. Англосаксы и Ватикан</t>
  </si>
  <si>
    <t xml:space="preserve">11708590            </t>
  </si>
  <si>
    <t>Тропа над бабочкой. Касаверде А.</t>
  </si>
  <si>
    <t>Касаверде А.</t>
  </si>
  <si>
    <t>978-5-386-15375-5</t>
  </si>
  <si>
    <t>9785386153755</t>
  </si>
  <si>
    <t>Тропа над бабочкой</t>
  </si>
  <si>
    <t xml:space="preserve">11513340            </t>
  </si>
  <si>
    <t>Туарег. Кн. 1-2 в одном томе. Полная версия. Васкес-Фигероа А.</t>
  </si>
  <si>
    <t>978-5-386-15324-3</t>
  </si>
  <si>
    <t>9785386153243</t>
  </si>
  <si>
    <t>Туарег. Кн. 1-2 в одном томе. Полная версия</t>
  </si>
  <si>
    <t>11664280</t>
  </si>
  <si>
    <t>Туннель; Из смерти в жизнь; Обмен душами ( комплект из 3-х книг). Стэплдон О., Келлерман Б., Пейн Б</t>
  </si>
  <si>
    <t>Стэплдон О., Келлерман Б., Пейн Б</t>
  </si>
  <si>
    <t>978-5-521-84489-0</t>
  </si>
  <si>
    <t>9785521844890</t>
  </si>
  <si>
    <t>Туннель; Из смерти в жизнь; Обмен душами ( комплект из 3-х книг)</t>
  </si>
  <si>
    <t>Зарубежная фантастика</t>
  </si>
  <si>
    <t>11664250</t>
  </si>
  <si>
    <t>Франкенштейн, или Современный Прометей; Обмен душами; Железный доктор (комплект из 3-х книг). Шелли М., Эльснер А.О., Пейн Б.</t>
  </si>
  <si>
    <t>Шелли М., Эльснер А.О., Пейн Б.</t>
  </si>
  <si>
    <t>978-5-521-84488-3</t>
  </si>
  <si>
    <t>9785521844883</t>
  </si>
  <si>
    <t>Франкенштейн, или Современный Прометей; Обмен душами; Железный доктор (комплект из 3-х книг)</t>
  </si>
  <si>
    <t xml:space="preserve">10917750            </t>
  </si>
  <si>
    <t>Французский орден особиста. Легенда отечественной контрразведки. Линдер И.Б., Лузан Н.Н.</t>
  </si>
  <si>
    <t>Линдер И.Б., Лузан Н.Н.</t>
  </si>
  <si>
    <t>978-5-386-15032-7</t>
  </si>
  <si>
    <t>9785386150327</t>
  </si>
  <si>
    <t>Французский орден особиста. Легенда отечественной контрразведки</t>
  </si>
  <si>
    <t>Историческая проза</t>
  </si>
  <si>
    <t>Русская историческая проза</t>
  </si>
  <si>
    <t xml:space="preserve">11195960            </t>
  </si>
  <si>
    <t>Фреймворк управления и анализа проектов DaShe. Щеглов С.И., Давыденков П.И.</t>
  </si>
  <si>
    <t>Щеглов С.И., Давыденков П.И.</t>
  </si>
  <si>
    <t>978-5-386-14997-0</t>
  </si>
  <si>
    <t>9785386149970</t>
  </si>
  <si>
    <t>Фреймворк управления и анализа проектов DaShe</t>
  </si>
  <si>
    <t>Управление проектами</t>
  </si>
  <si>
    <t xml:space="preserve">12039310            </t>
  </si>
  <si>
    <t>Хроники пепельной весны.  Кн. 1: Магма ведьм. Старобинец А.А.</t>
  </si>
  <si>
    <t>Старобинец А.А.</t>
  </si>
  <si>
    <t>978-5-386-15462-2</t>
  </si>
  <si>
    <t>9785386154622</t>
  </si>
  <si>
    <t>Хроники пепельной весны.  Кн. 1: Магма ведьм</t>
  </si>
  <si>
    <t>11664300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</si>
  <si>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книг). Куприн А.И., Соловьев В.С., Эльснер А.О.</t>
  </si>
  <si>
    <t>Куприн А.И., Соловьев В.С., Эльснер А.О.</t>
  </si>
  <si>
    <t>978-5-521-84491-3</t>
  </si>
  <si>
    <t>9785521844913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</si>
  <si>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</t>
  </si>
  <si>
    <t xml:space="preserve">10726950            </t>
  </si>
  <si>
    <t>Чик и Чирик. Шмидт В., Шмидт А.-К</t>
  </si>
  <si>
    <t>Шмидт В., Шмидт А.-К.</t>
  </si>
  <si>
    <t>60х108/8</t>
  </si>
  <si>
    <t>978-5-386-14930-7</t>
  </si>
  <si>
    <t>9785386149307</t>
  </si>
  <si>
    <t>Чик и Чирик</t>
  </si>
  <si>
    <t>6 +</t>
  </si>
  <si>
    <t>Литературная сказка</t>
  </si>
  <si>
    <t xml:space="preserve">11860060            </t>
  </si>
  <si>
    <t>Что говорит Коран? Цитаты на 57 тем с комментариями. Оганесян С.С., Хаади Т.А.</t>
  </si>
  <si>
    <t>Оганесян С.С., Хаади Т.А.</t>
  </si>
  <si>
    <t>978-5-386-15418-9</t>
  </si>
  <si>
    <t>9785386154189</t>
  </si>
  <si>
    <t>Что говорит Коран? Цитаты на 57 тем с комментариями</t>
  </si>
  <si>
    <t>Ислам (мусульманство)</t>
  </si>
  <si>
    <t>Ислам. Суфизм</t>
  </si>
  <si>
    <t xml:space="preserve">7954640             </t>
  </si>
  <si>
    <t>Что такое Африка. Бабаев К.В., Архангельская А.</t>
  </si>
  <si>
    <t>Бабаев К.В., Архангельская А.</t>
  </si>
  <si>
    <t>84х108/16</t>
  </si>
  <si>
    <t>978-5-386-08595-7</t>
  </si>
  <si>
    <t>9785386085957</t>
  </si>
  <si>
    <t>Что такое Африка</t>
  </si>
  <si>
    <t>Естественные науки. Математика</t>
  </si>
  <si>
    <t>Науки о Земле</t>
  </si>
  <si>
    <t>Страноведение. Краеведение</t>
  </si>
  <si>
    <t xml:space="preserve">11874680            </t>
  </si>
  <si>
    <t>Энциклопедия архитектурных стилей. Классический труд по европейскому зодчеству от античности до современности. Кох В.</t>
  </si>
  <si>
    <t>Кох В.</t>
  </si>
  <si>
    <t>978-5-386-15476-9</t>
  </si>
  <si>
    <t>9785386154769</t>
  </si>
  <si>
    <t>Энциклопедия архитектурных стилей. Классический труд по европейскому зодчеству от античности до современности</t>
  </si>
  <si>
    <t>Изобразительное искусство. Архитектура</t>
  </si>
  <si>
    <t>Архитектура</t>
  </si>
  <si>
    <t xml:space="preserve">11499420            </t>
  </si>
  <si>
    <t>1001 гороскоп</t>
  </si>
  <si>
    <t>Рак-2025. Календарь-гороскоп благоприятных дней Рака в 2025 году. Зима Д., Счастливая Д.</t>
  </si>
  <si>
    <t>Зима Д., Счастливая Д.</t>
  </si>
  <si>
    <t>978-5-386-15336-6</t>
  </si>
  <si>
    <t>9785386153366</t>
  </si>
  <si>
    <t>Рак-2025. Календарь-гороскоп благоприятных дней Рака в 2025 году</t>
  </si>
  <si>
    <t>Астрология. Нумерология</t>
  </si>
  <si>
    <t xml:space="preserve">10309320            </t>
  </si>
  <si>
    <t>1793</t>
  </si>
  <si>
    <t>1793. Натт-о-Даг Н.</t>
  </si>
  <si>
    <t>Натт-о-Даг Н.</t>
  </si>
  <si>
    <t>978-5-386-14686-3</t>
  </si>
  <si>
    <t>9785386146863</t>
  </si>
  <si>
    <t xml:space="preserve">9588320             </t>
  </si>
  <si>
    <t>Выжившие: роман. Джеймесон Х.</t>
  </si>
  <si>
    <t>Джеймесон Х.</t>
  </si>
  <si>
    <t>2021</t>
  </si>
  <si>
    <t>978-5-386-13935-3</t>
  </si>
  <si>
    <t>9785386139353</t>
  </si>
  <si>
    <t>Выжившие: роман</t>
  </si>
  <si>
    <t xml:space="preserve">9561550             </t>
  </si>
  <si>
    <t>Персона: роман. Жирардо М.</t>
  </si>
  <si>
    <t>Жирардо М.</t>
  </si>
  <si>
    <t>978-5-386-13820-2</t>
  </si>
  <si>
    <t>9785386138202</t>
  </si>
  <si>
    <t>Персона: роман</t>
  </si>
  <si>
    <t xml:space="preserve">9697770             </t>
  </si>
  <si>
    <t>Самария: роман. Нессер Х.</t>
  </si>
  <si>
    <t>Нессер Х.</t>
  </si>
  <si>
    <t>978-5-386-14191-2</t>
  </si>
  <si>
    <t>9785386141912</t>
  </si>
  <si>
    <t>Самария: роман</t>
  </si>
  <si>
    <t xml:space="preserve">9588170             </t>
  </si>
  <si>
    <t>Серебряная дорога. Джексон С.</t>
  </si>
  <si>
    <t>Джексон С.</t>
  </si>
  <si>
    <t>978-5-386-13933-9</t>
  </si>
  <si>
    <t>9785386139339</t>
  </si>
  <si>
    <t>Серебряная дорога</t>
  </si>
  <si>
    <t xml:space="preserve">9704030             </t>
  </si>
  <si>
    <t>Смерть автора. Нессер Х.</t>
  </si>
  <si>
    <t>978-5-386-14259-9</t>
  </si>
  <si>
    <t>9785386142599</t>
  </si>
  <si>
    <t>Смерть автора</t>
  </si>
  <si>
    <t xml:space="preserve">9628990             </t>
  </si>
  <si>
    <t>Темная земля: роман. Макбрайд С.</t>
  </si>
  <si>
    <t>Макбрайд С.</t>
  </si>
  <si>
    <t>978-5-386-14011-3</t>
  </si>
  <si>
    <t>9785386140113</t>
  </si>
  <si>
    <t>Темная земля: роман</t>
  </si>
  <si>
    <t>11030910</t>
  </si>
  <si>
    <t>3 по цене 2-х</t>
  </si>
  <si>
    <t>Бархатная ночь. Мировые бестселлеры (комплект из 3-х книг). Морено-Гарсиа С., Чайлдс Дж.</t>
  </si>
  <si>
    <t>Морено-Гарсиа С., Чайлдс Дж.</t>
  </si>
  <si>
    <t>978-5-521-80668-3</t>
  </si>
  <si>
    <t>9785521806683</t>
  </si>
  <si>
    <t>Бархатная ночь. Мировые бестселлеры (комплект из 3-х книг)</t>
  </si>
  <si>
    <t>11030760</t>
  </si>
  <si>
    <t>Кошмары и хоррор (комплект из 3-х книг). Лавкрафт Г.Ф., Херли Э.М., Эверс Х.Х</t>
  </si>
  <si>
    <t>Лавкрафт Г.Ф., Херли Э.М., Эверс Х.Х</t>
  </si>
  <si>
    <t>978-5-521-80659-1</t>
  </si>
  <si>
    <t>9785521806591</t>
  </si>
  <si>
    <t>Кошмары и хоррор (комплект из 3-х книг)</t>
  </si>
  <si>
    <t>11030890</t>
  </si>
  <si>
    <t>Лекарство для души. Мировые бестселлеры (комплект из 3-х книг). Хорнби Н., Левестам С., Филдс Х</t>
  </si>
  <si>
    <t>Хорнби Н., Левестам С., Филдс Х</t>
  </si>
  <si>
    <t>978-5-521-80667-6</t>
  </si>
  <si>
    <t>9785521806676</t>
  </si>
  <si>
    <t>Лекарство для души. Мировые бестселлеры (комплект из 3-х книг)</t>
  </si>
  <si>
    <t>11030850</t>
  </si>
  <si>
    <t>Мировые бестселлеры. Вып. 1 (комплект из 3-х книг). Габас Л., Александер Дж., Альден Р.Э.</t>
  </si>
  <si>
    <t>Габас Л., Александер Дж., Альден Р.Э.</t>
  </si>
  <si>
    <t>978-5-521-80664-5</t>
  </si>
  <si>
    <t>9785521806645</t>
  </si>
  <si>
    <t>Мировые бестселлеры. Вып. 1 (комплект из 3-х книг)</t>
  </si>
  <si>
    <t>11030750</t>
  </si>
  <si>
    <t>Трилогия 1793-1795 (комплект из 3-х книг). Натт-о-Даг Н.</t>
  </si>
  <si>
    <t>978-5-521-80658-4</t>
  </si>
  <si>
    <t>9785521806584</t>
  </si>
  <si>
    <t>Трилогия 1793-1795 (комплект из 3-х книг)</t>
  </si>
  <si>
    <t>11030800</t>
  </si>
  <si>
    <t>Хиты исторического детектива. Вып. 2 (комплект из 3-х книг). Питерс Э</t>
  </si>
  <si>
    <t>Питерс Э</t>
  </si>
  <si>
    <t>978-5-521-80663-8</t>
  </si>
  <si>
    <t>9785521806638</t>
  </si>
  <si>
    <t>Хиты исторического детектива. Вып. 2 (комплект из 3-х книг)</t>
  </si>
  <si>
    <t>11030880</t>
  </si>
  <si>
    <t>Хиты мирового триллера. Вып. 2 (комплект из 3-х книг). Чан Хо-Кей, Хантер М., Мэй Л.</t>
  </si>
  <si>
    <t>Чан Хо-Кей, Хантер М., Мэй Л.</t>
  </si>
  <si>
    <t>978-5-521-80666-9</t>
  </si>
  <si>
    <t>9785521806669</t>
  </si>
  <si>
    <t>Хиты мирового триллера. Вып. 2 (комплект из 3-х книг)</t>
  </si>
  <si>
    <t xml:space="preserve">9422720             </t>
  </si>
  <si>
    <t>Art of Life</t>
  </si>
  <si>
    <t>Под открытым небом. Как жить в гармонии с природой. Торгебю М.</t>
  </si>
  <si>
    <t>Торгебю М.</t>
  </si>
  <si>
    <t>2020</t>
  </si>
  <si>
    <t>978-5-386-13710-6</t>
  </si>
  <si>
    <t>9785386137106</t>
  </si>
  <si>
    <t>Под открытым небом. Как жить в гармонии с природой</t>
  </si>
  <si>
    <t>Социальная психология. Психология отношений. Коммуникации</t>
  </si>
  <si>
    <t xml:space="preserve">10482760            </t>
  </si>
  <si>
    <t>Best New York Times mini</t>
  </si>
  <si>
    <t>Город женщин: роман. Гилберт Э.</t>
  </si>
  <si>
    <t>Гилберт Э.</t>
  </si>
  <si>
    <t>978-5-386-14818-8</t>
  </si>
  <si>
    <t>9785386148188</t>
  </si>
  <si>
    <t>Город женщин: роман</t>
  </si>
  <si>
    <t>Литература Америки и Австралии</t>
  </si>
  <si>
    <t>11680490</t>
  </si>
  <si>
    <t>Город женщин; Барбизон. В отеле только девушки (комплект из 2-х книг). Гилберт Э., Брен П.</t>
  </si>
  <si>
    <t>Гилберт Э., Брен П.</t>
  </si>
  <si>
    <t>978-5-521-84800-3</t>
  </si>
  <si>
    <t>9785521848003</t>
  </si>
  <si>
    <t>Город женщин; Барбизон. В отеле только девушки (комплект из 2-х книг)</t>
  </si>
  <si>
    <t xml:space="preserve">10483360            </t>
  </si>
  <si>
    <t>Самая лучшая жена. Гилберт Э.</t>
  </si>
  <si>
    <t>978-5-386-14819-5</t>
  </si>
  <si>
    <t>9785386148195</t>
  </si>
  <si>
    <t>Самая лучшая жена</t>
  </si>
  <si>
    <t xml:space="preserve">11388370            </t>
  </si>
  <si>
    <t>Best-Thriller</t>
  </si>
  <si>
    <t>21 день до моей смерти. Гелдер А.-К.</t>
  </si>
  <si>
    <t>Гелдер А.-К.</t>
  </si>
  <si>
    <t>978-5-386-15113-3</t>
  </si>
  <si>
    <t>9785386151133</t>
  </si>
  <si>
    <t>21 день до моей смерти</t>
  </si>
  <si>
    <t xml:space="preserve">10484680            </t>
  </si>
  <si>
    <t>Они делали плохие вещи. Форри Л.А.</t>
  </si>
  <si>
    <t>Форри Л.А.</t>
  </si>
  <si>
    <t>978-5-386-14826-3</t>
  </si>
  <si>
    <t>9785386148263</t>
  </si>
  <si>
    <t>Они делали плохие вещи</t>
  </si>
  <si>
    <t xml:space="preserve">10485020            </t>
  </si>
  <si>
    <t>Убей моего босса. Альден Р.Э.</t>
  </si>
  <si>
    <t>Альден Р.Э.</t>
  </si>
  <si>
    <t>978-5-386-14702-0</t>
  </si>
  <si>
    <t>9785386147020</t>
  </si>
  <si>
    <t>Убей моего босса</t>
  </si>
  <si>
    <t>газетная</t>
  </si>
  <si>
    <t xml:space="preserve">10666950            </t>
  </si>
  <si>
    <t>Я застрелил дьявола. Макайвер Р.</t>
  </si>
  <si>
    <t>Макайвер Р.</t>
  </si>
  <si>
    <t>978-5-386-14864-5</t>
  </si>
  <si>
    <t>9785386148645</t>
  </si>
  <si>
    <t>Я застрелил дьявола</t>
  </si>
  <si>
    <t xml:space="preserve">10442010            </t>
  </si>
  <si>
    <t>Black Books</t>
  </si>
  <si>
    <t>48 законов власти (краткая версия). Грин Р.</t>
  </si>
  <si>
    <t>Грин Р.</t>
  </si>
  <si>
    <t>978-5-386-14791-4</t>
  </si>
  <si>
    <t>9785386147914</t>
  </si>
  <si>
    <t>48 законов власти (краткая версия)</t>
  </si>
  <si>
    <t>Политика</t>
  </si>
  <si>
    <t>Государственное управление. Власть</t>
  </si>
  <si>
    <t>9594390</t>
  </si>
  <si>
    <t>Записки о Галльской войне. Цезарь Г. Ю.</t>
  </si>
  <si>
    <t>Цезарь Г. Ю.</t>
  </si>
  <si>
    <t>978-5-386-13932-2</t>
  </si>
  <si>
    <t>9785386139322</t>
  </si>
  <si>
    <t>Записки о Галльской войне</t>
  </si>
  <si>
    <t xml:space="preserve">10473730            </t>
  </si>
  <si>
    <t>Лестница в небо. Краткая версия. Хазин М.Л., Щеглов С.И</t>
  </si>
  <si>
    <t>Хазин М.Л., Щеглов С.И</t>
  </si>
  <si>
    <t>978-5-386-14805-8</t>
  </si>
  <si>
    <t>9785386148058</t>
  </si>
  <si>
    <t>Лестница в небо. Краткая версия</t>
  </si>
  <si>
    <t xml:space="preserve">9441210             </t>
  </si>
  <si>
    <t>Письма к сыну. Честерфилд Ф.Д.С.</t>
  </si>
  <si>
    <t>Честерфилд Ф.Д.С.</t>
  </si>
  <si>
    <t>978-5-386-13584-3</t>
  </si>
  <si>
    <t>9785386135843</t>
  </si>
  <si>
    <t>Письма к сыну</t>
  </si>
  <si>
    <t>Этика</t>
  </si>
  <si>
    <t xml:space="preserve">10408250            </t>
  </si>
  <si>
    <t>Book&amp;Travel</t>
  </si>
  <si>
    <t>1793: роман. Натт-о-Даг Н.</t>
  </si>
  <si>
    <t>978-5-386-14709-9</t>
  </si>
  <si>
    <t>9785386147099</t>
  </si>
  <si>
    <t>1793: роман</t>
  </si>
  <si>
    <t xml:space="preserve">10452520            </t>
  </si>
  <si>
    <t>1794. Натт-о-Даг Н.</t>
  </si>
  <si>
    <t>978-5-386-14767-9</t>
  </si>
  <si>
    <t>9785386147679</t>
  </si>
  <si>
    <t>1794</t>
  </si>
  <si>
    <t xml:space="preserve">10451050            </t>
  </si>
  <si>
    <t>Безумие толпы. Как мир сошел с ума от толерантности и попыток угодить всем. Мюррей Д.</t>
  </si>
  <si>
    <t>Мюррей Д.</t>
  </si>
  <si>
    <t>978-5-386-14769-3</t>
  </si>
  <si>
    <t>9785386147693</t>
  </si>
  <si>
    <t>Безумие толпы. Как мир сошел с ума от толерантности и попыток угодить всем</t>
  </si>
  <si>
    <t>Общая социология</t>
  </si>
  <si>
    <t xml:space="preserve">10451040            </t>
  </si>
  <si>
    <t>Большое волшебство. Творчество без страха. Гилберт Э.</t>
  </si>
  <si>
    <t>978-5-386-14770-9</t>
  </si>
  <si>
    <t>9785386147709</t>
  </si>
  <si>
    <t>Большое волшебство. Творчество без страха</t>
  </si>
  <si>
    <t xml:space="preserve">10409200            </t>
  </si>
  <si>
    <t>Вся твоя ложь. Тайс Г.</t>
  </si>
  <si>
    <t>Тайс Г.</t>
  </si>
  <si>
    <t>978-5-386-14704-4</t>
  </si>
  <si>
    <t>9785386147044</t>
  </si>
  <si>
    <t>Вся твоя ложь</t>
  </si>
  <si>
    <t xml:space="preserve">10506700            </t>
  </si>
  <si>
    <t>Когда мы виделись в последний раз. Лив Константин</t>
  </si>
  <si>
    <t>Лив Константин</t>
  </si>
  <si>
    <t>978-5-386-14845-4</t>
  </si>
  <si>
    <t>9785386148454</t>
  </si>
  <si>
    <t>Когда мы виделись в последний раз</t>
  </si>
  <si>
    <t xml:space="preserve">10435900            </t>
  </si>
  <si>
    <t>Красивые вещи. Браун Дж.</t>
  </si>
  <si>
    <t>Браун Дж.</t>
  </si>
  <si>
    <t>978-5-386-14701-3</t>
  </si>
  <si>
    <t>9785386147013</t>
  </si>
  <si>
    <t>Красивые вещи</t>
  </si>
  <si>
    <t xml:space="preserve">10406790            </t>
  </si>
  <si>
    <t>Кровавый апельсин. Тайс Г.</t>
  </si>
  <si>
    <t>978-5-386-14703-7</t>
  </si>
  <si>
    <t>9785386147037</t>
  </si>
  <si>
    <t>Кровавый апельсин</t>
  </si>
  <si>
    <t xml:space="preserve">10536530            </t>
  </si>
  <si>
    <t>Мексиканская готика. Морено-Гарсиа С.</t>
  </si>
  <si>
    <t>Морено-Гарсиа С.</t>
  </si>
  <si>
    <t>978-5-386-14740-2</t>
  </si>
  <si>
    <t>9785386147402</t>
  </si>
  <si>
    <t>Мексиканская готика</t>
  </si>
  <si>
    <t xml:space="preserve">10409380            </t>
  </si>
  <si>
    <t>Новая земля. Пробуждение к своей жизненной цели. Толле Э.</t>
  </si>
  <si>
    <t>978-5-386-14756-3</t>
  </si>
  <si>
    <t>9785386147563</t>
  </si>
  <si>
    <t>Новая земля. Пробуждение к своей жизненной цели</t>
  </si>
  <si>
    <t>Эзотерические учения. Теософия</t>
  </si>
  <si>
    <t xml:space="preserve">10408430            </t>
  </si>
  <si>
    <t>Тени тевтонов. Иванов А.В.</t>
  </si>
  <si>
    <t>Иванов А.В.</t>
  </si>
  <si>
    <t>978-5-386-14718-1</t>
  </si>
  <si>
    <t>9785386147181</t>
  </si>
  <si>
    <t>Тени тевтонов</t>
  </si>
  <si>
    <t xml:space="preserve">10452720            </t>
  </si>
  <si>
    <t>Уолден, или Жизнь в лесу. Торо Г.Д.</t>
  </si>
  <si>
    <t>Торо Г.Д.</t>
  </si>
  <si>
    <t>978-5-386-14792-1</t>
  </si>
  <si>
    <t>9785386147921</t>
  </si>
  <si>
    <t>Уолден, или Жизнь в лесу</t>
  </si>
  <si>
    <t xml:space="preserve">8242700             </t>
  </si>
  <si>
    <t>Dragons</t>
  </si>
  <si>
    <t>Эона. Последняя заклинательница драконов. Гудман Э.</t>
  </si>
  <si>
    <t>Гудман Э.</t>
  </si>
  <si>
    <t>2017</t>
  </si>
  <si>
    <t>978-5-386-10240-1</t>
  </si>
  <si>
    <t>9785386102401</t>
  </si>
  <si>
    <t>Эона. Последняя заклинательница драконов</t>
  </si>
  <si>
    <t xml:space="preserve">9675950             </t>
  </si>
  <si>
    <t>Feel Good</t>
  </si>
  <si>
    <t>Смотреть на звезды. Вопрос - половинка сердца. Лундберг С.</t>
  </si>
  <si>
    <t>Лундберг С.</t>
  </si>
  <si>
    <t>978-5-386-14200-1</t>
  </si>
  <si>
    <t>9785386142001</t>
  </si>
  <si>
    <t>Смотреть на звезды. Вопрос - половинка сердца</t>
  </si>
  <si>
    <t xml:space="preserve">11287240            </t>
  </si>
  <si>
    <t>Good Novel</t>
  </si>
  <si>
    <t>Никогда не поздно стать счастливой. Хайке А.</t>
  </si>
  <si>
    <t>Хайке А.</t>
  </si>
  <si>
    <t>978-5-386-15054-9</t>
  </si>
  <si>
    <t>9785386150549</t>
  </si>
  <si>
    <t>Никогда не поздно стать счастливой</t>
  </si>
  <si>
    <t xml:space="preserve">11287230            </t>
  </si>
  <si>
    <t>Улыбка зари. Ришмон Б., де</t>
  </si>
  <si>
    <t>Ришмон Б., де</t>
  </si>
  <si>
    <t>978-5-386-15050-1</t>
  </si>
  <si>
    <t>9785386150501</t>
  </si>
  <si>
    <t>Улыбка зари</t>
  </si>
  <si>
    <t xml:space="preserve">10535740            </t>
  </si>
  <si>
    <t>Grand Fantasy</t>
  </si>
  <si>
    <t>Багдадский Вор. Ахмед Абдулла</t>
  </si>
  <si>
    <t>Ахмед Абдулла</t>
  </si>
  <si>
    <t>978-5-386-14744-0</t>
  </si>
  <si>
    <t>9785386147440</t>
  </si>
  <si>
    <t>Багдадский Вор</t>
  </si>
  <si>
    <t xml:space="preserve">10409710            </t>
  </si>
  <si>
    <t>Запретный лес. Бакен Дж.</t>
  </si>
  <si>
    <t>Бакен Дж.</t>
  </si>
  <si>
    <t>978-5-386-14727-3</t>
  </si>
  <si>
    <t>9785386147273</t>
  </si>
  <si>
    <t>Запретный лес</t>
  </si>
  <si>
    <t xml:space="preserve">9855480             </t>
  </si>
  <si>
    <t>Из смерти в жизнь. Стэплдон О</t>
  </si>
  <si>
    <t>Стэплдон О</t>
  </si>
  <si>
    <t>978-5-386-14468-5</t>
  </si>
  <si>
    <t>9785386144685</t>
  </si>
  <si>
    <t>Из смерти в жизнь</t>
  </si>
  <si>
    <t xml:space="preserve">10945370            </t>
  </si>
  <si>
    <t>Незрячие драконы. Моррис К.</t>
  </si>
  <si>
    <t>Моррис К.</t>
  </si>
  <si>
    <t>978-5-386-14987-1</t>
  </si>
  <si>
    <t>9785386149871</t>
  </si>
  <si>
    <t>Незрячие драконы</t>
  </si>
  <si>
    <t xml:space="preserve">9861510             </t>
  </si>
  <si>
    <t>Повесть о Роскошной и Манящей Равнине. Моррис У.</t>
  </si>
  <si>
    <t>Моррис У.</t>
  </si>
  <si>
    <t>978-5-386-14461-6</t>
  </si>
  <si>
    <t>9785386144616</t>
  </si>
  <si>
    <t>Повесть о Роскошной и Манящей Равнине</t>
  </si>
  <si>
    <t xml:space="preserve">9859790             </t>
  </si>
  <si>
    <t>Разделенный человек. Стэплдон О</t>
  </si>
  <si>
    <t>978-5-386-14466-1</t>
  </si>
  <si>
    <t>9785386144661</t>
  </si>
  <si>
    <t>Разделенный человек</t>
  </si>
  <si>
    <t xml:space="preserve">11375720            </t>
  </si>
  <si>
    <t>Регент Севера. Моррис К.</t>
  </si>
  <si>
    <t>978-5-386-15210-9</t>
  </si>
  <si>
    <t>9785386152109</t>
  </si>
  <si>
    <t>Регент Севера</t>
  </si>
  <si>
    <t xml:space="preserve">10169150            </t>
  </si>
  <si>
    <t>Сказание о Доме Вольфингов. Моррис У.</t>
  </si>
  <si>
    <t>978-5-386-14629-0</t>
  </si>
  <si>
    <t>9785386146290</t>
  </si>
  <si>
    <t>Сказание о Доме Вольфингов</t>
  </si>
  <si>
    <t xml:space="preserve">8828170             </t>
  </si>
  <si>
    <t>Happy Life</t>
  </si>
  <si>
    <t>Горькая правда о сахаре. Ненашева Л.</t>
  </si>
  <si>
    <t>Ненашева Л.</t>
  </si>
  <si>
    <t>2019</t>
  </si>
  <si>
    <t>978-5-386-12294-2</t>
  </si>
  <si>
    <t>9785386122942</t>
  </si>
  <si>
    <t>Горькая правда о сахаре</t>
  </si>
  <si>
    <t>Целебные свойства продуктов. Оздоровительное питание</t>
  </si>
  <si>
    <t xml:space="preserve">11800710            </t>
  </si>
  <si>
    <t>Happyland</t>
  </si>
  <si>
    <t>Двойник. Чу Л.</t>
  </si>
  <si>
    <t>Чу Л.</t>
  </si>
  <si>
    <t>978-5-386-15452-3</t>
  </si>
  <si>
    <t>9785386154523</t>
  </si>
  <si>
    <t>Двойник</t>
  </si>
  <si>
    <t xml:space="preserve">10040680            </t>
  </si>
  <si>
    <t>Horror Story</t>
  </si>
  <si>
    <t>Аватара. Готье Т.</t>
  </si>
  <si>
    <t>Готье Т.</t>
  </si>
  <si>
    <t>978-5-386-14594-1</t>
  </si>
  <si>
    <t>9785386145941</t>
  </si>
  <si>
    <t>Аватара</t>
  </si>
  <si>
    <t xml:space="preserve">10166380            </t>
  </si>
  <si>
    <t>Вампиры. Фантастический роман барона Олшеври из семейной хроники графов Дракула-Карди. Олшеври</t>
  </si>
  <si>
    <t>Олшеври</t>
  </si>
  <si>
    <t>978-5-386-14614-6</t>
  </si>
  <si>
    <t>9785386146146</t>
  </si>
  <si>
    <t>Вампиры. Фантастический роман барона Олшеври из семейной хроники графов Дракула-Карди</t>
  </si>
  <si>
    <t xml:space="preserve">9768900             </t>
  </si>
  <si>
    <t>Волхвы. Соловьев В.С.</t>
  </si>
  <si>
    <t>Соловьев В.С.</t>
  </si>
  <si>
    <t>978-5-386-14372-5</t>
  </si>
  <si>
    <t>9785386143725</t>
  </si>
  <si>
    <t>Волхвы</t>
  </si>
  <si>
    <t xml:space="preserve">9797710             </t>
  </si>
  <si>
    <t>Голем. Майринк Г</t>
  </si>
  <si>
    <t>Майринк Г.</t>
  </si>
  <si>
    <t>978-5-386-14416-6</t>
  </si>
  <si>
    <t>9785386144166</t>
  </si>
  <si>
    <t>Голем</t>
  </si>
  <si>
    <t>11663740</t>
  </si>
  <si>
    <t>Голем; Пляска смерти; Гротески (комплект из 3-х книг). Майринк Г., Эверс Х.Х.</t>
  </si>
  <si>
    <t>Майринк Г., Эверс Х.Х.</t>
  </si>
  <si>
    <t>978-5-521-84470-8</t>
  </si>
  <si>
    <t>9785521844708</t>
  </si>
  <si>
    <t>Голем; Пляска смерти; Гротески (комплект из 3-х книг)</t>
  </si>
  <si>
    <t xml:space="preserve">9972730             </t>
  </si>
  <si>
    <t>Грозный идол, или Строители ада на земле. Эльснер А.О.</t>
  </si>
  <si>
    <t>Эльснер А.О.</t>
  </si>
  <si>
    <t>978-5-386-14570-5</t>
  </si>
  <si>
    <t>9785386145705</t>
  </si>
  <si>
    <t>Грозный идол, или Строители ада на земле</t>
  </si>
  <si>
    <t xml:space="preserve">10664790            </t>
  </si>
  <si>
    <t>Гротески. Эверс Х.Х.</t>
  </si>
  <si>
    <t>Эверс Х.Х.</t>
  </si>
  <si>
    <t>978-5-386-14926-0</t>
  </si>
  <si>
    <t>9785386149260</t>
  </si>
  <si>
    <t>Гротески</t>
  </si>
  <si>
    <t xml:space="preserve">10012060            </t>
  </si>
  <si>
    <t>День Дьявола. Херли Э.М</t>
  </si>
  <si>
    <t>Херли Э.М</t>
  </si>
  <si>
    <t>978-5-386-14562-0</t>
  </si>
  <si>
    <t>9785386145620</t>
  </si>
  <si>
    <t>День Дьявола</t>
  </si>
  <si>
    <t xml:space="preserve">9797020             </t>
  </si>
  <si>
    <t>Железный доктор. Эльснер А.О.</t>
  </si>
  <si>
    <t>978-5-386-14418-0</t>
  </si>
  <si>
    <t>9785386144180</t>
  </si>
  <si>
    <t>Железный доктор</t>
  </si>
  <si>
    <t xml:space="preserve">9855130             </t>
  </si>
  <si>
    <t>Жук. Таинственная история. Марш Р.</t>
  </si>
  <si>
    <t>Марш Р.</t>
  </si>
  <si>
    <t>978-5-386-14490-6</t>
  </si>
  <si>
    <t>9785386144906</t>
  </si>
  <si>
    <t>Жук. Таинственная история</t>
  </si>
  <si>
    <t xml:space="preserve">9797220             </t>
  </si>
  <si>
    <t>Загадочные исчезновения. Бирс А.</t>
  </si>
  <si>
    <t>Бирс А.</t>
  </si>
  <si>
    <t>978-5-386-14417-3</t>
  </si>
  <si>
    <t>9785386144173</t>
  </si>
  <si>
    <t>Загадочные исчезновения</t>
  </si>
  <si>
    <t xml:space="preserve">10479590            </t>
  </si>
  <si>
    <t>Зов Ктулху. Лавкрафт Г.Ф.</t>
  </si>
  <si>
    <t>Лавкрафт Г.Ф.</t>
  </si>
  <si>
    <t>978-5-386-14812-6</t>
  </si>
  <si>
    <t>9785386148126</t>
  </si>
  <si>
    <t>Зов Ктулху</t>
  </si>
  <si>
    <t>11664310</t>
  </si>
  <si>
    <t>Зов Ктулху; Хребты безумия; Крысы в стенах (комплект из 3-х книг). Лавкрафт Г.Ф.</t>
  </si>
  <si>
    <t>978-5-521-84492-0</t>
  </si>
  <si>
    <t>9785521844920</t>
  </si>
  <si>
    <t>Зов Ктулху; Хребты безумия; Крысы в стенах (комплект из 3-х книг)</t>
  </si>
  <si>
    <t xml:space="preserve">10238960            </t>
  </si>
  <si>
    <t>Кошмары. Эверс Х.Х.</t>
  </si>
  <si>
    <t>978-5-386-14653-5</t>
  </si>
  <si>
    <t>9785386146535</t>
  </si>
  <si>
    <t>Кошмары</t>
  </si>
  <si>
    <t xml:space="preserve">10945330            </t>
  </si>
  <si>
    <t>Крысы в стенах. Лавкрафт Г.Ф.</t>
  </si>
  <si>
    <t>978-5-386-15006-8</t>
  </si>
  <si>
    <t>9785386150068</t>
  </si>
  <si>
    <t>Крысы в стенах</t>
  </si>
  <si>
    <t xml:space="preserve">9733710             </t>
  </si>
  <si>
    <t>Лоуни: роман. Херли Э.М</t>
  </si>
  <si>
    <t>978-5-386-14364-0</t>
  </si>
  <si>
    <t>9785386143640</t>
  </si>
  <si>
    <t>Лоуни: роман</t>
  </si>
  <si>
    <t>11663950</t>
  </si>
  <si>
    <t>Монах; Франкенштейн, или Современный Прометей; Тайна поместья Уиверн (комплект из 3-х книг). Ле Фаню Дж.Ш., Шелли М., Льюис М.Г.</t>
  </si>
  <si>
    <t>Ле Фаню Дж.Ш., Шелли М., Льюис М.Г.</t>
  </si>
  <si>
    <t>978-5-521-84475-3</t>
  </si>
  <si>
    <t>9785521844753</t>
  </si>
  <si>
    <t>Монах; Франкенштейн, или Современный Прометей; Тайна поместья Уиверн (комплект из 3-х книг)</t>
  </si>
  <si>
    <t xml:space="preserve">10945410            </t>
  </si>
  <si>
    <t>Недобрый гость. Ле Фаню Дж.Ш.</t>
  </si>
  <si>
    <t>Ле Фаню Дж.Ш.</t>
  </si>
  <si>
    <t>978-5-386-15008-2</t>
  </si>
  <si>
    <t>9785386150082</t>
  </si>
  <si>
    <t>Недобрый гость</t>
  </si>
  <si>
    <t xml:space="preserve">11746640            </t>
  </si>
  <si>
    <t>Нездешний цвет. Лавкрафт Г.Ф.</t>
  </si>
  <si>
    <t>978-5-386-15382-3</t>
  </si>
  <si>
    <t>9785386153823</t>
  </si>
  <si>
    <t>Нездешний цвет</t>
  </si>
  <si>
    <t xml:space="preserve">11169160            </t>
  </si>
  <si>
    <t>Пляска смерти. Готхельф И.</t>
  </si>
  <si>
    <t>Готхельф И.</t>
  </si>
  <si>
    <t>978-5-386-15001-3</t>
  </si>
  <si>
    <t>9785386150013</t>
  </si>
  <si>
    <t>Пляска смерти</t>
  </si>
  <si>
    <t xml:space="preserve">9714570             </t>
  </si>
  <si>
    <t>Пожиратели душ. Арсдейл П. Ван</t>
  </si>
  <si>
    <t>Арсдейл П. Ван</t>
  </si>
  <si>
    <t>978-5-386-14251-3</t>
  </si>
  <si>
    <t>9785386142513</t>
  </si>
  <si>
    <t>Пожиратели душ</t>
  </si>
  <si>
    <t xml:space="preserve">10040030            </t>
  </si>
  <si>
    <t>Скорбь Сатаны. Корелли М</t>
  </si>
  <si>
    <t>Корелли М</t>
  </si>
  <si>
    <t>978-5-386-14578-1</t>
  </si>
  <si>
    <t>9785386145781</t>
  </si>
  <si>
    <t>Скорбь Сатаны</t>
  </si>
  <si>
    <t xml:space="preserve">10033420            </t>
  </si>
  <si>
    <t>Спирита. Готье Т.</t>
  </si>
  <si>
    <t>978-5-386-14596-5</t>
  </si>
  <si>
    <t>9785386145965</t>
  </si>
  <si>
    <t>Спирита</t>
  </si>
  <si>
    <t xml:space="preserve">9745130             </t>
  </si>
  <si>
    <t>Страшные рассказы. По Э.А.</t>
  </si>
  <si>
    <t>По Э.А.</t>
  </si>
  <si>
    <t>978-5-386-14359-6</t>
  </si>
  <si>
    <t>9785386143596</t>
  </si>
  <si>
    <t>Страшные рассказы</t>
  </si>
  <si>
    <t xml:space="preserve">10702360            </t>
  </si>
  <si>
    <t>Хребты безумия. Лавкрафт Г.Ф.</t>
  </si>
  <si>
    <t>978-5-386-14937-6</t>
  </si>
  <si>
    <t>9785386149376</t>
  </si>
  <si>
    <t>Хребты безумия</t>
  </si>
  <si>
    <t xml:space="preserve">11092210            </t>
  </si>
  <si>
    <t>Чертова невеста. Русский хоррор начала ХХ века со страниц старых журналов. Сологуб Ф.К., Куприн А.И., Брюсов В.Я.</t>
  </si>
  <si>
    <t>Сологуб Ф.К., Куприн А.И., Брюсов В.Я.</t>
  </si>
  <si>
    <t>978-5-386-15066-2</t>
  </si>
  <si>
    <t>9785386150662</t>
  </si>
  <si>
    <t>Чертова невеста. Русский хоррор начала ХХ века со страниц старых журналов</t>
  </si>
  <si>
    <t xml:space="preserve">9978530             </t>
  </si>
  <si>
    <t>Horror Story: Библиотека Лавкрафта</t>
  </si>
  <si>
    <t>Король в Желтом. Чамберс Р.</t>
  </si>
  <si>
    <t>Чамберс Р.</t>
  </si>
  <si>
    <t>978-5-386-14566-8</t>
  </si>
  <si>
    <t>9785386145668</t>
  </si>
  <si>
    <t>Король в Желтом</t>
  </si>
  <si>
    <t xml:space="preserve">9705110             </t>
  </si>
  <si>
    <t>KARMALOGIC</t>
  </si>
  <si>
    <t>Арете-терапия. Психотерапия высоким смыслом. Завьялов В.Ю.</t>
  </si>
  <si>
    <t>Завьялов В.Ю.</t>
  </si>
  <si>
    <t>978-5-386-14249-0</t>
  </si>
  <si>
    <t>9785386142490</t>
  </si>
  <si>
    <t>Арете-терапия. Психотерапия высоким смыслом</t>
  </si>
  <si>
    <t>Психотерапия</t>
  </si>
  <si>
    <t xml:space="preserve">10232820            </t>
  </si>
  <si>
    <t>Librarium</t>
  </si>
  <si>
    <t>24 закона обольщения. Грин Р.</t>
  </si>
  <si>
    <t>80х100/32</t>
  </si>
  <si>
    <t>978-5-386-14663-4</t>
  </si>
  <si>
    <t>9785386146634</t>
  </si>
  <si>
    <t>24 закона обольщения</t>
  </si>
  <si>
    <t xml:space="preserve">9690140             </t>
  </si>
  <si>
    <t>33 стратегии войны. Грин Р.</t>
  </si>
  <si>
    <t>978-5-386-14244-5</t>
  </si>
  <si>
    <t>9785386142445</t>
  </si>
  <si>
    <t>33 стратегии войны</t>
  </si>
  <si>
    <t xml:space="preserve">10162230            </t>
  </si>
  <si>
    <t>978-5-386-13947-6</t>
  </si>
  <si>
    <t>9785386139476</t>
  </si>
  <si>
    <t xml:space="preserve">10646110            </t>
  </si>
  <si>
    <t>Stigmata. Эллис</t>
  </si>
  <si>
    <t>Эллис</t>
  </si>
  <si>
    <t>978-5-386-14837-9</t>
  </si>
  <si>
    <t>9785386148379</t>
  </si>
  <si>
    <t>Stigmata</t>
  </si>
  <si>
    <t xml:space="preserve">8723800             </t>
  </si>
  <si>
    <t>Автобиография. История моей жизни и убеждений. Милль Дж.Ст.</t>
  </si>
  <si>
    <t>Милль Дж.Ст.</t>
  </si>
  <si>
    <t>978-5-386-10798-7</t>
  </si>
  <si>
    <t>9785386107987</t>
  </si>
  <si>
    <t>Автобиография. История моей жизни и убеждений</t>
  </si>
  <si>
    <t>Биографии общественных и исторических деятелей</t>
  </si>
  <si>
    <t xml:space="preserve">9610840             </t>
  </si>
  <si>
    <t>Алиса в Зазеркалье. Льюис Кэрролл</t>
  </si>
  <si>
    <t>Льюис Кэрролл</t>
  </si>
  <si>
    <t>978-5-386-13994-0</t>
  </si>
  <si>
    <t>9785386139940</t>
  </si>
  <si>
    <t>Алиса в Зазеркалье</t>
  </si>
  <si>
    <t>Фольклор</t>
  </si>
  <si>
    <t>Сказки</t>
  </si>
  <si>
    <t xml:space="preserve">9648480             </t>
  </si>
  <si>
    <t>Алькеста; Гераклиды: пьесы. Еврипид</t>
  </si>
  <si>
    <t>Еврипид</t>
  </si>
  <si>
    <t>978-5-386-14033-5</t>
  </si>
  <si>
    <t>9785386140335</t>
  </si>
  <si>
    <t>Алькеста; Гераклиды: пьесы</t>
  </si>
  <si>
    <t>Литература Древнего мира, Античности и Средних веков</t>
  </si>
  <si>
    <t xml:space="preserve">10736800            </t>
  </si>
  <si>
    <t>Апология сумасшедшего. Чаадаев П.Я.</t>
  </si>
  <si>
    <t>Чаадаев П.Я.</t>
  </si>
  <si>
    <t>978-5-386-14858-4</t>
  </si>
  <si>
    <t>9785386148584</t>
  </si>
  <si>
    <t>Апология сумасшедшего</t>
  </si>
  <si>
    <t>Философия в целом. Труды</t>
  </si>
  <si>
    <t xml:space="preserve">10238800            </t>
  </si>
  <si>
    <t>Астарта. Лоррен Ж.</t>
  </si>
  <si>
    <t>Лоррен Ж.</t>
  </si>
  <si>
    <t>978-5-386-14650-4</t>
  </si>
  <si>
    <t>9785386146504</t>
  </si>
  <si>
    <t>Астарта</t>
  </si>
  <si>
    <t xml:space="preserve">10367310            </t>
  </si>
  <si>
    <t>Воображаемые портреты. Патер У.</t>
  </si>
  <si>
    <t>Патер У.</t>
  </si>
  <si>
    <t>978-5-386-14691-7</t>
  </si>
  <si>
    <t>9785386146917</t>
  </si>
  <si>
    <t>Воображаемые портреты</t>
  </si>
  <si>
    <t xml:space="preserve">9764190             </t>
  </si>
  <si>
    <t>Детские. Ларбо В.</t>
  </si>
  <si>
    <t>Ларбо В.</t>
  </si>
  <si>
    <t>978-5-386-14347-3</t>
  </si>
  <si>
    <t>9785386143473</t>
  </si>
  <si>
    <t>Детские</t>
  </si>
  <si>
    <t xml:space="preserve">9797790             </t>
  </si>
  <si>
    <t>Единство со всей жизнью. Толле Э.</t>
  </si>
  <si>
    <t>978-5-386-14477-7</t>
  </si>
  <si>
    <t>9785386144777</t>
  </si>
  <si>
    <t>Единство со всей жизнью</t>
  </si>
  <si>
    <t xml:space="preserve">9709650             </t>
  </si>
  <si>
    <t>Жизнь. Мопассан Г</t>
  </si>
  <si>
    <t>Мопассан Г</t>
  </si>
  <si>
    <t>978-5-386-14062-5</t>
  </si>
  <si>
    <t>9785386140625</t>
  </si>
  <si>
    <t>Жизнь</t>
  </si>
  <si>
    <t xml:space="preserve">9989540             </t>
  </si>
  <si>
    <t>Звонарь. Роденбах Ж.</t>
  </si>
  <si>
    <t>Роденбах Ж.</t>
  </si>
  <si>
    <t>978-5-386-14576-7</t>
  </si>
  <si>
    <t>9785386145767</t>
  </si>
  <si>
    <t>Звонарь</t>
  </si>
  <si>
    <t xml:space="preserve">10160480            </t>
  </si>
  <si>
    <t>Зори. Верхарн Э.</t>
  </si>
  <si>
    <t>Верхарн Э.</t>
  </si>
  <si>
    <t>978-5-386-14624-5</t>
  </si>
  <si>
    <t>9785386146245</t>
  </si>
  <si>
    <t>Зори</t>
  </si>
  <si>
    <t>Драматургия</t>
  </si>
  <si>
    <t>Зарубежная драматургия</t>
  </si>
  <si>
    <t xml:space="preserve">10134210            </t>
  </si>
  <si>
    <t>Избранные стихотворения. Верхарн Э.</t>
  </si>
  <si>
    <t>978-5-386-14612-2</t>
  </si>
  <si>
    <t>9785386146122</t>
  </si>
  <si>
    <t>Избранные стихотворения</t>
  </si>
  <si>
    <t>Зарубежная поэзия</t>
  </si>
  <si>
    <t xml:space="preserve">10266380            </t>
  </si>
  <si>
    <t>Книга масок. Де Гурмон Р.</t>
  </si>
  <si>
    <t>Де Гурмон Р.</t>
  </si>
  <si>
    <t>978-5-386-14672-6</t>
  </si>
  <si>
    <t>9785386146726</t>
  </si>
  <si>
    <t>Книга масок</t>
  </si>
  <si>
    <t xml:space="preserve">9992840             </t>
  </si>
  <si>
    <t>Козлиная песнь. Вагинов К.К.</t>
  </si>
  <si>
    <t>Вагинов К.К.</t>
  </si>
  <si>
    <t>978-5-386-14577-4</t>
  </si>
  <si>
    <t>9785386145774</t>
  </si>
  <si>
    <t>Козлиная песнь</t>
  </si>
  <si>
    <t xml:space="preserve">9972800             </t>
  </si>
  <si>
    <t>Кронштадт и Питер в 1917 году. Раскольников Ф.Ф.</t>
  </si>
  <si>
    <t>Раскольников Ф.Ф.</t>
  </si>
  <si>
    <t>978-5-386-14560-6</t>
  </si>
  <si>
    <t>9785386145606</t>
  </si>
  <si>
    <t>Кронштадт и Питер в 1917 году</t>
  </si>
  <si>
    <t xml:space="preserve">9793040             </t>
  </si>
  <si>
    <t>Крылья. Кузмин М.А.</t>
  </si>
  <si>
    <t>Кузмин М.А.</t>
  </si>
  <si>
    <t>978-5-386-14432-6</t>
  </si>
  <si>
    <t>9785386144326</t>
  </si>
  <si>
    <t>Крылья</t>
  </si>
  <si>
    <t>Русская литература XVIII-нач. XX вв. (до 1917 г.)</t>
  </si>
  <si>
    <t xml:space="preserve">10011850            </t>
  </si>
  <si>
    <t>Кюхля. Тынянов Ю.Н.</t>
  </si>
  <si>
    <t>Тынянов Ю.Н.</t>
  </si>
  <si>
    <t>978-5-386-14579-8</t>
  </si>
  <si>
    <t>9785386145798</t>
  </si>
  <si>
    <t>Кюхля</t>
  </si>
  <si>
    <t xml:space="preserve">9769370             </t>
  </si>
  <si>
    <t>Любовная лирика. Бернс Р.</t>
  </si>
  <si>
    <t>Бернс Р.</t>
  </si>
  <si>
    <t>978-5-386-14380-0</t>
  </si>
  <si>
    <t>9785386143800</t>
  </si>
  <si>
    <t>Любовная лирика</t>
  </si>
  <si>
    <t xml:space="preserve">9794380             </t>
  </si>
  <si>
    <t>Мизантроп. Мольер Ж.-Б.</t>
  </si>
  <si>
    <t>Мольер Ж.-Б.</t>
  </si>
  <si>
    <t>978-5-386-14446-3</t>
  </si>
  <si>
    <t>9785386144463</t>
  </si>
  <si>
    <t>Мизантроп</t>
  </si>
  <si>
    <t xml:space="preserve">8461780             </t>
  </si>
  <si>
    <t>Монадология. Лейбниц Г.В.</t>
  </si>
  <si>
    <t>Лейбниц Г.В.</t>
  </si>
  <si>
    <t>978-5-386-10561-7</t>
  </si>
  <si>
    <t>9785386105617</t>
  </si>
  <si>
    <t>Монадология</t>
  </si>
  <si>
    <t>История философии. Античная философия</t>
  </si>
  <si>
    <t xml:space="preserve">8621150             </t>
  </si>
  <si>
    <t>Моральные размышления о старости, о дружбе, об обязанностях. Цицерон М.Т.</t>
  </si>
  <si>
    <t>Цицерон М.Т.</t>
  </si>
  <si>
    <t>978-5-386-10748-2</t>
  </si>
  <si>
    <t>9785386107482</t>
  </si>
  <si>
    <t>Моральные размышления о старости, о дружбе, об обязанностях</t>
  </si>
  <si>
    <t xml:space="preserve">9675530             </t>
  </si>
  <si>
    <t>Наука побеждать. Суворов А.В.</t>
  </si>
  <si>
    <t>Суворов А.В.</t>
  </si>
  <si>
    <t>978-5-386-14149-3</t>
  </si>
  <si>
    <t>9785386141493</t>
  </si>
  <si>
    <t>Наука побеждать</t>
  </si>
  <si>
    <t>Военное дело (тактика, стратегия). Военная подготовка</t>
  </si>
  <si>
    <t xml:space="preserve">10229420            </t>
  </si>
  <si>
    <t>Не воскрешайте меня!. Брюсов В.Я.</t>
  </si>
  <si>
    <t>Брюсов В.Я.</t>
  </si>
  <si>
    <t>978-5-386-14646-7</t>
  </si>
  <si>
    <t>9785386146467</t>
  </si>
  <si>
    <t>Не воскрешайте меня!</t>
  </si>
  <si>
    <t xml:space="preserve">8483070             </t>
  </si>
  <si>
    <t>Новая жизнь. Данте Алигьери</t>
  </si>
  <si>
    <t>Данте Алигьери</t>
  </si>
  <si>
    <t>978-5-386-10627-0</t>
  </si>
  <si>
    <t>9785386106270</t>
  </si>
  <si>
    <t>Новая жизнь</t>
  </si>
  <si>
    <t xml:space="preserve">10233690            </t>
  </si>
  <si>
    <t>978-5-386-14664-1</t>
  </si>
  <si>
    <t>9785386146641</t>
  </si>
  <si>
    <t xml:space="preserve">8852280             </t>
  </si>
  <si>
    <t>Пир. Платон</t>
  </si>
  <si>
    <t>Платон</t>
  </si>
  <si>
    <t>Панглосс</t>
  </si>
  <si>
    <t>978-5-386-12293-5</t>
  </si>
  <si>
    <t>9785386122935</t>
  </si>
  <si>
    <t>Пир</t>
  </si>
  <si>
    <t xml:space="preserve">9735250             </t>
  </si>
  <si>
    <t>Письма сестре. Врубель М.А.</t>
  </si>
  <si>
    <t>Врубель М.А.</t>
  </si>
  <si>
    <t>978-5-386-14336-7</t>
  </si>
  <si>
    <t>9785386143367</t>
  </si>
  <si>
    <t>Письма сестре</t>
  </si>
  <si>
    <t xml:space="preserve">9679010             </t>
  </si>
  <si>
    <t>Плоды раздумья. Прутков К.П.</t>
  </si>
  <si>
    <t>Прутков К.П.</t>
  </si>
  <si>
    <t>978-5-386-14203-2</t>
  </si>
  <si>
    <t>9785386142032</t>
  </si>
  <si>
    <t>Плоды раздумья</t>
  </si>
  <si>
    <t xml:space="preserve">9859450             </t>
  </si>
  <si>
    <t>Сказания о Христе. Лагерлеф С.</t>
  </si>
  <si>
    <t>Лагерлеф С.</t>
  </si>
  <si>
    <t>978-5-386-14415-9</t>
  </si>
  <si>
    <t>9785386144159</t>
  </si>
  <si>
    <t>Сказания о Христе</t>
  </si>
  <si>
    <t>Познавательная литература для детей</t>
  </si>
  <si>
    <t>Религиозная литература для детей</t>
  </si>
  <si>
    <t xml:space="preserve">10409370            </t>
  </si>
  <si>
    <t>Сократ. Жебелев С.А.</t>
  </si>
  <si>
    <t>Жебелев С.А.</t>
  </si>
  <si>
    <t>978-5-386-14758-7</t>
  </si>
  <si>
    <t>9785386147587</t>
  </si>
  <si>
    <t>Сократ</t>
  </si>
  <si>
    <t xml:space="preserve">9942710             </t>
  </si>
  <si>
    <t>Там, внизу, или Бездна. Гюисманс Ж.-К.</t>
  </si>
  <si>
    <t>Гюисманс Ж.-К.</t>
  </si>
  <si>
    <t>978-5-386-14538-5</t>
  </si>
  <si>
    <t>9785386145385</t>
  </si>
  <si>
    <t>Там, внизу, или Бездна</t>
  </si>
  <si>
    <t xml:space="preserve">9821490             </t>
  </si>
  <si>
    <t>Третья фиалка. Крейн С.</t>
  </si>
  <si>
    <t>Крейн С.</t>
  </si>
  <si>
    <t>978-5-386-14500-2</t>
  </si>
  <si>
    <t>9785386145002</t>
  </si>
  <si>
    <t>Третья фиалка</t>
  </si>
  <si>
    <t xml:space="preserve">9793830             </t>
  </si>
  <si>
    <t>978-5-386-14414-2</t>
  </si>
  <si>
    <t>9785386144142</t>
  </si>
  <si>
    <t xml:space="preserve">8556360             </t>
  </si>
  <si>
    <t>Фацеции. Поджо Браччолини</t>
  </si>
  <si>
    <t>Поджо Браччолини</t>
  </si>
  <si>
    <t>978-5-386-10663-8</t>
  </si>
  <si>
    <t>9785386106638</t>
  </si>
  <si>
    <t>Фацеции</t>
  </si>
  <si>
    <t xml:space="preserve">10292080            </t>
  </si>
  <si>
    <t>Чапаев: роман. Фурманов Д.А.</t>
  </si>
  <si>
    <t>Фурманов Д.А.</t>
  </si>
  <si>
    <t>978-5-386-14678-8</t>
  </si>
  <si>
    <t>9785386146788</t>
  </si>
  <si>
    <t>Чапаев: роман</t>
  </si>
  <si>
    <t xml:space="preserve">10453410            </t>
  </si>
  <si>
    <t>Love&amp;Travel</t>
  </si>
  <si>
    <t>Вкус шалфея. Сантос Й.С.</t>
  </si>
  <si>
    <t>Сантос Й.С.</t>
  </si>
  <si>
    <t>978-5-386-14789-1</t>
  </si>
  <si>
    <t>9785386147891</t>
  </si>
  <si>
    <t>Вкус шалфея</t>
  </si>
  <si>
    <t xml:space="preserve">10512010            </t>
  </si>
  <si>
    <t>Есть, молиться, любить. Гилберт Э.</t>
  </si>
  <si>
    <t>978-5-386-14842-3</t>
  </si>
  <si>
    <t>9785386148423</t>
  </si>
  <si>
    <t>Есть, молиться, любить</t>
  </si>
  <si>
    <t xml:space="preserve">10455520            </t>
  </si>
  <si>
    <t>Любовь по переписке. Беннет Дж.</t>
  </si>
  <si>
    <t>Беннет Дж.</t>
  </si>
  <si>
    <t>978-5-386-14778-5</t>
  </si>
  <si>
    <t>9785386147785</t>
  </si>
  <si>
    <t>Любовь по переписке</t>
  </si>
  <si>
    <t xml:space="preserve">10462790            </t>
  </si>
  <si>
    <t>Самая-самая, всеми любимая (и на работе тоже все о кей). Хааг М.</t>
  </si>
  <si>
    <t>Хааг М.</t>
  </si>
  <si>
    <t>978-5-386-14822-5</t>
  </si>
  <si>
    <t>9785386148225</t>
  </si>
  <si>
    <t>Самая-самая, всеми любимая (и на работе тоже все о кей)</t>
  </si>
  <si>
    <t xml:space="preserve">10452490            </t>
  </si>
  <si>
    <t>Три метра над небом: Навеки твой. Моччиа Ф.</t>
  </si>
  <si>
    <t>Моччиа Ф.</t>
  </si>
  <si>
    <t>978-5-386-14775-4</t>
  </si>
  <si>
    <t>9785386147754</t>
  </si>
  <si>
    <t>Три метра над небом: Навеки твой</t>
  </si>
  <si>
    <t xml:space="preserve">10461640            </t>
  </si>
  <si>
    <t>Трудности перевода. Рой О.Ю.</t>
  </si>
  <si>
    <t>978-5-386-14811-9</t>
  </si>
  <si>
    <t>9785386148119</t>
  </si>
  <si>
    <t>Трудности перевода</t>
  </si>
  <si>
    <t>Русский сентиментальный роман</t>
  </si>
  <si>
    <t xml:space="preserve">10238980            </t>
  </si>
  <si>
    <t>New Horror</t>
  </si>
  <si>
    <t>Дом. Страндберг М.</t>
  </si>
  <si>
    <t>Страндберг М.</t>
  </si>
  <si>
    <t>978-5-386-14666-5</t>
  </si>
  <si>
    <t>9785386146665</t>
  </si>
  <si>
    <t>Дом</t>
  </si>
  <si>
    <t xml:space="preserve">11420000            </t>
  </si>
  <si>
    <t>978-5-386-15122-5</t>
  </si>
  <si>
    <t>9785386151225</t>
  </si>
  <si>
    <t xml:space="preserve">11254910            </t>
  </si>
  <si>
    <t>Ночница: коллекция ужасов. Мамон А.В</t>
  </si>
  <si>
    <t>978-5-386-15174-4</t>
  </si>
  <si>
    <t>9785386151744</t>
  </si>
  <si>
    <t>Ночница: коллекция ужасов</t>
  </si>
  <si>
    <t xml:space="preserve">11255070            </t>
  </si>
  <si>
    <t>Черные зубы. Хоу К.</t>
  </si>
  <si>
    <t>Хоу К.</t>
  </si>
  <si>
    <t>978-5-386-15024-2</t>
  </si>
  <si>
    <t>9785386150242</t>
  </si>
  <si>
    <t>Черные зубы</t>
  </si>
  <si>
    <t xml:space="preserve">9349270             </t>
  </si>
  <si>
    <t>Pocket&amp;Travel</t>
  </si>
  <si>
    <t>1793. История одного убийства: роман. Натт-о-Даг Н.</t>
  </si>
  <si>
    <t>978-5-386-13621-5</t>
  </si>
  <si>
    <t>9785386136215</t>
  </si>
  <si>
    <t>1793. История одного убийства: роман</t>
  </si>
  <si>
    <t xml:space="preserve">9709500             </t>
  </si>
  <si>
    <t>978-5-386-14222-3</t>
  </si>
  <si>
    <t>9785386142223</t>
  </si>
  <si>
    <t>210549</t>
  </si>
  <si>
    <t xml:space="preserve">24 закона обольщения для достижения власти (обл). Грин Р.                                           </t>
  </si>
  <si>
    <t xml:space="preserve">Грин Р.                                           </t>
  </si>
  <si>
    <t>978-5-386-04114-4</t>
  </si>
  <si>
    <t>9785386041144</t>
  </si>
  <si>
    <t xml:space="preserve">017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</si>
  <si>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Популярная психология                                                                                                           </t>
  </si>
  <si>
    <t>24 закона обольщения для достижения власти (обл)</t>
  </si>
  <si>
    <t xml:space="preserve">10373390            </t>
  </si>
  <si>
    <t>978-5-386-14730-3</t>
  </si>
  <si>
    <t>9785386147303</t>
  </si>
  <si>
    <t xml:space="preserve">10373400            </t>
  </si>
  <si>
    <t>978-5-386-14729-7</t>
  </si>
  <si>
    <t>9785386147297</t>
  </si>
  <si>
    <t xml:space="preserve">8559520             </t>
  </si>
  <si>
    <t>978-5-386-10699-7</t>
  </si>
  <si>
    <t>9785386106997</t>
  </si>
  <si>
    <t xml:space="preserve">10499720            </t>
  </si>
  <si>
    <t>Hi-Fi. Хорнби Н</t>
  </si>
  <si>
    <t>Хорнби Н</t>
  </si>
  <si>
    <t>978-5-386-14780-8</t>
  </si>
  <si>
    <t>9785386147808</t>
  </si>
  <si>
    <t>Hi-Fi</t>
  </si>
  <si>
    <t xml:space="preserve">9298700             </t>
  </si>
  <si>
    <t>Narconomics: Преступный синдикат как успешная бизнес-модель. Уэйнрайт Т.</t>
  </si>
  <si>
    <t>Уэйнрайт Т.</t>
  </si>
  <si>
    <t>Пальмира</t>
  </si>
  <si>
    <t>978-5-386-12809-8</t>
  </si>
  <si>
    <t>9785386128098</t>
  </si>
  <si>
    <t>Narconomics: Преступный синдикат как успешная бизнес-модель</t>
  </si>
  <si>
    <t>Бизнес.  Предпринимательство</t>
  </si>
  <si>
    <t>Популярная литература по бизнесу</t>
  </si>
  <si>
    <t xml:space="preserve">11116440            </t>
  </si>
  <si>
    <t>Антирак. Новый образ жизни. Серван-Шрейбер Д.</t>
  </si>
  <si>
    <t>Серван-Шрейбер Д.</t>
  </si>
  <si>
    <t>978-5-386-15108-9</t>
  </si>
  <si>
    <t>9785386151089</t>
  </si>
  <si>
    <t>Антирак. Новый образ жизни</t>
  </si>
  <si>
    <t>Клиническая медицина. Внутренние болезни</t>
  </si>
  <si>
    <t>Онкология</t>
  </si>
  <si>
    <t xml:space="preserve">9285120             </t>
  </si>
  <si>
    <t>Арабский кошмар: роман. Ирвин Р.</t>
  </si>
  <si>
    <t>Ирвин Р.</t>
  </si>
  <si>
    <t>978-5-386-12842-5</t>
  </si>
  <si>
    <t>9785386128425</t>
  </si>
  <si>
    <t>Арабский кошмар: роман</t>
  </si>
  <si>
    <t xml:space="preserve">10401050            </t>
  </si>
  <si>
    <t>978-5-386-14748-8</t>
  </si>
  <si>
    <t>9785386147488</t>
  </si>
  <si>
    <t xml:space="preserve">10401040            </t>
  </si>
  <si>
    <t>978-5-386-14749-5</t>
  </si>
  <si>
    <t>9785386147495</t>
  </si>
  <si>
    <t xml:space="preserve">9745060             </t>
  </si>
  <si>
    <t>Выжившие (обл.). Джеймесон Х.</t>
  </si>
  <si>
    <t>978-5-386-14351-0</t>
  </si>
  <si>
    <t>9785386143510</t>
  </si>
  <si>
    <t>Выжившие (обл.)</t>
  </si>
  <si>
    <t xml:space="preserve">9399680             </t>
  </si>
  <si>
    <t>978-5-386-13689-5</t>
  </si>
  <si>
    <t>9785386136895</t>
  </si>
  <si>
    <t xml:space="preserve">8613270             </t>
  </si>
  <si>
    <t>Есть, молиться, любить (обл.). Гилберт Э.</t>
  </si>
  <si>
    <t>978-5-386-10816-8</t>
  </si>
  <si>
    <t>9785386108168</t>
  </si>
  <si>
    <t>Есть, молиться, любить (обл.)</t>
  </si>
  <si>
    <t xml:space="preserve">9256450             </t>
  </si>
  <si>
    <t>Есть, молиться, любить 2: Законный брак. Гилберт Э.</t>
  </si>
  <si>
    <t>978-5-386-13519-5</t>
  </si>
  <si>
    <t>9785386135195</t>
  </si>
  <si>
    <t>Есть, молиться, любить 2: Законный брак</t>
  </si>
  <si>
    <t xml:space="preserve">11116430            </t>
  </si>
  <si>
    <t>Как любить ребенка. Корчак Я.</t>
  </si>
  <si>
    <t>Корчак Я.</t>
  </si>
  <si>
    <t>978-5-386-15115-7</t>
  </si>
  <si>
    <t>9785386151157</t>
  </si>
  <si>
    <t>Как любить ребенка</t>
  </si>
  <si>
    <t>Педагогика</t>
  </si>
  <si>
    <t>Общие вопросы</t>
  </si>
  <si>
    <t xml:space="preserve">9708640             </t>
  </si>
  <si>
    <t>978-5-386-14221-6</t>
  </si>
  <si>
    <t>9785386142216</t>
  </si>
  <si>
    <t xml:space="preserve">9356980             </t>
  </si>
  <si>
    <t>Конец парада. Каждому свое. Форд Ф.М.</t>
  </si>
  <si>
    <t>Форд Ф.М.</t>
  </si>
  <si>
    <t>978-5-386-13623-9</t>
  </si>
  <si>
    <t>9785386136239</t>
  </si>
  <si>
    <t>Конец парада. Каждому свое</t>
  </si>
  <si>
    <t xml:space="preserve">10943800            </t>
  </si>
  <si>
    <t>978-5-386-15044-0</t>
  </si>
  <si>
    <t>9785386150440</t>
  </si>
  <si>
    <t xml:space="preserve">10535510            </t>
  </si>
  <si>
    <t>Красивые вещи. Браун Дж</t>
  </si>
  <si>
    <t>978-5-386-14765-5</t>
  </si>
  <si>
    <t>9785386147655</t>
  </si>
  <si>
    <t xml:space="preserve">10455010            </t>
  </si>
  <si>
    <t>978-5-386-14766-2</t>
  </si>
  <si>
    <t>9785386147662</t>
  </si>
  <si>
    <t xml:space="preserve">9257030             </t>
  </si>
  <si>
    <t>Любовь Свана: роман. Пруст М.</t>
  </si>
  <si>
    <t>Пруст М.</t>
  </si>
  <si>
    <t>978-5-386-12843-2</t>
  </si>
  <si>
    <t>9785386128432</t>
  </si>
  <si>
    <t>Любовь Свана: роман</t>
  </si>
  <si>
    <t xml:space="preserve">10410380            </t>
  </si>
  <si>
    <t>978-5-386-14757-0</t>
  </si>
  <si>
    <t>9785386147570</t>
  </si>
  <si>
    <t xml:space="preserve">9715140             </t>
  </si>
  <si>
    <t>Персона. Жирардо М.</t>
  </si>
  <si>
    <t>978-5-386-14223-0</t>
  </si>
  <si>
    <t>9785386142230</t>
  </si>
  <si>
    <t>Персона</t>
  </si>
  <si>
    <t xml:space="preserve">9400150             </t>
  </si>
  <si>
    <t>Происхождение всех вещей: роман. Гилберт Э.</t>
  </si>
  <si>
    <t>978-5-386-13529-4</t>
  </si>
  <si>
    <t>9785386135294</t>
  </si>
  <si>
    <t>Происхождение всех вещей: роман</t>
  </si>
  <si>
    <t xml:space="preserve">9735220             </t>
  </si>
  <si>
    <t>978-5-386-14352-7</t>
  </si>
  <si>
    <t>9785386143527</t>
  </si>
  <si>
    <t xml:space="preserve">10943810            </t>
  </si>
  <si>
    <t>978-5-386-15052-5</t>
  </si>
  <si>
    <t>9785386150525</t>
  </si>
  <si>
    <t xml:space="preserve">10943820            </t>
  </si>
  <si>
    <t>978-5-386-15053-2</t>
  </si>
  <si>
    <t>9785386150532</t>
  </si>
  <si>
    <t xml:space="preserve">9233970             </t>
  </si>
  <si>
    <t>Три метра над небом: Навеки твой: роман. Моччиа Ф.</t>
  </si>
  <si>
    <t>978-5-386-13513-3</t>
  </si>
  <si>
    <t>9785386135133</t>
  </si>
  <si>
    <t>Три метра над небом: Навеки твой: роман</t>
  </si>
  <si>
    <t xml:space="preserve">9284320             </t>
  </si>
  <si>
    <t>Три метра над небом: Трижды ты: роман. Моччиа Ф.</t>
  </si>
  <si>
    <t>978-5-386-13567-6</t>
  </si>
  <si>
    <t>9785386135676</t>
  </si>
  <si>
    <t>Три метра над небом: Трижды ты: роман</t>
  </si>
  <si>
    <t xml:space="preserve">9258210             </t>
  </si>
  <si>
    <t>Три метра над небом: Я тебя хочу. Моччиа Ф.</t>
  </si>
  <si>
    <t>978-5-386-13528-7</t>
  </si>
  <si>
    <t>9785386135287</t>
  </si>
  <si>
    <t>Три метра над небом: Я тебя хочу</t>
  </si>
  <si>
    <t xml:space="preserve">10943890            </t>
  </si>
  <si>
    <t>Туарег 2. Васкес-Фигероа А.</t>
  </si>
  <si>
    <t>978-5-386-15049-5</t>
  </si>
  <si>
    <t>9785386150495</t>
  </si>
  <si>
    <t>Туарег 2</t>
  </si>
  <si>
    <t xml:space="preserve">9726270             </t>
  </si>
  <si>
    <t>Туарег. Васкес-Фигероа А.</t>
  </si>
  <si>
    <t>978-5-386-14271-1</t>
  </si>
  <si>
    <t>9785386142711</t>
  </si>
  <si>
    <t>Туарег</t>
  </si>
  <si>
    <t>11618920</t>
  </si>
  <si>
    <t>Туарег; Туарег 2 (комплект из 2-х книг). Васкес-Фигероа А.</t>
  </si>
  <si>
    <t>978-5-521-83875-2</t>
  </si>
  <si>
    <t>9785521838752</t>
  </si>
  <si>
    <t>Туарег; Туарег 2 (комплект из 2-х книг)</t>
  </si>
  <si>
    <t xml:space="preserve">10943980            </t>
  </si>
  <si>
    <t>Хайд. Рассел К.</t>
  </si>
  <si>
    <t>Рассел К.</t>
  </si>
  <si>
    <t>978-5-386-15046-4</t>
  </si>
  <si>
    <t>9785386150464</t>
  </si>
  <si>
    <t>Хайд</t>
  </si>
  <si>
    <t xml:space="preserve">9217370             </t>
  </si>
  <si>
    <t>Prisma</t>
  </si>
  <si>
    <t>Занимательная геохимия. Химия Земли. Ферсман А.Е</t>
  </si>
  <si>
    <t>Ферсман А.Е</t>
  </si>
  <si>
    <t>978-5-386-12827-2</t>
  </si>
  <si>
    <t>9785386128272</t>
  </si>
  <si>
    <t>Занимательная геохимия. Химия Земли</t>
  </si>
  <si>
    <t>Геология. Полезные ископаемые. Геохимия</t>
  </si>
  <si>
    <t xml:space="preserve">9273050             </t>
  </si>
  <si>
    <t>PRO власть-pocket</t>
  </si>
  <si>
    <t>24 закона обольщения для достижения власти. Грин Р.</t>
  </si>
  <si>
    <t>978-5-386-13558-4</t>
  </si>
  <si>
    <t>9785386135584</t>
  </si>
  <si>
    <t>24 закона обольщения для достижения власти</t>
  </si>
  <si>
    <t xml:space="preserve">9270850             </t>
  </si>
  <si>
    <t>978-5-386-13557-7</t>
  </si>
  <si>
    <t>9785386135577</t>
  </si>
  <si>
    <t xml:space="preserve">9270860             </t>
  </si>
  <si>
    <t>978-5-386-13556-0</t>
  </si>
  <si>
    <t>9785386135560</t>
  </si>
  <si>
    <t xml:space="preserve">9399610             </t>
  </si>
  <si>
    <t>Лестница в небо. Краткая версия. Хазин М.Л., Щеглов С.И.</t>
  </si>
  <si>
    <t>Хазин М.Л., Щеглов С.И.</t>
  </si>
  <si>
    <t>978-5-386-13677-2</t>
  </si>
  <si>
    <t>9785386136772</t>
  </si>
  <si>
    <t xml:space="preserve">10236540            </t>
  </si>
  <si>
    <t>PROвласть</t>
  </si>
  <si>
    <t>978-5-386-14647-4</t>
  </si>
  <si>
    <t>9785386146474</t>
  </si>
  <si>
    <t xml:space="preserve">9208070             </t>
  </si>
  <si>
    <t>PRO-власть</t>
  </si>
  <si>
    <t>978-5-386-13485-3</t>
  </si>
  <si>
    <t>9785386134853</t>
  </si>
  <si>
    <t>244334</t>
  </si>
  <si>
    <t>978-5-386-06986-5</t>
  </si>
  <si>
    <t>9785386069865</t>
  </si>
  <si>
    <t>245540</t>
  </si>
  <si>
    <t>48 законов власти (полная версия). Грин Р.</t>
  </si>
  <si>
    <t>978-5-386-06017-6</t>
  </si>
  <si>
    <t>9785386060176</t>
  </si>
  <si>
    <t>48 законов власти (полная версия)</t>
  </si>
  <si>
    <t xml:space="preserve">9187370             </t>
  </si>
  <si>
    <t>978-5-386-13484-6</t>
  </si>
  <si>
    <t>9785386134846</t>
  </si>
  <si>
    <t xml:space="preserve">9133360             </t>
  </si>
  <si>
    <t>Воспоминания о будущем. Идеи современной экономики. Хазин М.Л.</t>
  </si>
  <si>
    <t>Хазин М.Л.</t>
  </si>
  <si>
    <t>978-5-386-12785-5</t>
  </si>
  <si>
    <t>9785386127855</t>
  </si>
  <si>
    <t>Воспоминания о будущем. Идеи современной экономики</t>
  </si>
  <si>
    <t>Экономическая теория</t>
  </si>
  <si>
    <t xml:space="preserve">7792410             </t>
  </si>
  <si>
    <t>Диалоги. Платон</t>
  </si>
  <si>
    <t>978-5-386-09428-7</t>
  </si>
  <si>
    <t>9785386094287</t>
  </si>
  <si>
    <t>Диалоги</t>
  </si>
  <si>
    <t>0 +</t>
  </si>
  <si>
    <t xml:space="preserve">8613260             </t>
  </si>
  <si>
    <t>Лестница в небо. Диалоги о власти, карьере и мировой элите. Хазин М.Л., Щеглов С.И.</t>
  </si>
  <si>
    <t>978-5-386-10813-7</t>
  </si>
  <si>
    <t>9785386108137</t>
  </si>
  <si>
    <t>Лестница в небо. Диалоги о власти, карьере и мировой элите</t>
  </si>
  <si>
    <t xml:space="preserve">7566030             </t>
  </si>
  <si>
    <t>Размышления. В чем наше благо? Готовому перейти Рубикон. Аврелий Антонин М., Эпиктет</t>
  </si>
  <si>
    <t>Аврелий Антонин М., Эпиктет</t>
  </si>
  <si>
    <t>978-5-386-09293-1</t>
  </si>
  <si>
    <t>9785386092931</t>
  </si>
  <si>
    <t>Размышления. В чем наше благо? Готовому перейти Рубикон</t>
  </si>
  <si>
    <t xml:space="preserve">8203920             </t>
  </si>
  <si>
    <t>Уинстон Черчилль. Против течения. Оратор. Историк. Публицист. 1929-1939. Медведев Д.Л.</t>
  </si>
  <si>
    <t>Медведев Д.Л.</t>
  </si>
  <si>
    <t>978-5-386-10073-5</t>
  </si>
  <si>
    <t>9785386100735</t>
  </si>
  <si>
    <t>Уинстон Черчилль. Против течения. Оратор. Историк. Публицист. 1929-1939</t>
  </si>
  <si>
    <t>Политические биографии. Воспоминания</t>
  </si>
  <si>
    <t xml:space="preserve">7943110             </t>
  </si>
  <si>
    <t>Уинстон Черчилль. Сила. Влияние. Воля. Медведев Д.Л.</t>
  </si>
  <si>
    <t>978-5-386-09631-1</t>
  </si>
  <si>
    <t>9785386096311</t>
  </si>
  <si>
    <t>Уинстон Черчилль. Сила. Влияние. Воля</t>
  </si>
  <si>
    <t>История политической мысли</t>
  </si>
  <si>
    <t xml:space="preserve">10409480            </t>
  </si>
  <si>
    <t>Red Book</t>
  </si>
  <si>
    <t>978-5-386-14751-8</t>
  </si>
  <si>
    <t>9785386147518</t>
  </si>
  <si>
    <t xml:space="preserve">10499490            </t>
  </si>
  <si>
    <t>978-5-386-14793-8</t>
  </si>
  <si>
    <t>9785386147938</t>
  </si>
  <si>
    <t xml:space="preserve">10488800            </t>
  </si>
  <si>
    <t>Как читать людей. Расшифровка скрытого смысла 1000 жестов, поз и мимики. Мессинжер Ж.</t>
  </si>
  <si>
    <t>Мессинжер Ж.</t>
  </si>
  <si>
    <t>978-5-386-14795-2</t>
  </si>
  <si>
    <t>9785386147952</t>
  </si>
  <si>
    <t>Как читать людей. Расшифровка скрытого смысла 1000 жестов, поз и мимики</t>
  </si>
  <si>
    <t>Прикладная психология</t>
  </si>
  <si>
    <t xml:space="preserve">10409470            </t>
  </si>
  <si>
    <t>Лестница в небо. Книга о власти. Хазин М.Л., Щеглов С.И.</t>
  </si>
  <si>
    <t>978-5-386-14754-9</t>
  </si>
  <si>
    <t>9785386147549</t>
  </si>
  <si>
    <t>Лестница в небо. Книга о власти</t>
  </si>
  <si>
    <t xml:space="preserve">11118070            </t>
  </si>
  <si>
    <t>Stand-alone</t>
  </si>
  <si>
    <t>Черные бабочки. Моди</t>
  </si>
  <si>
    <t>Моди</t>
  </si>
  <si>
    <t>978-5-386-15025-9</t>
  </si>
  <si>
    <t>9785386150259</t>
  </si>
  <si>
    <t>Черные бабочки</t>
  </si>
  <si>
    <t xml:space="preserve">9112590             </t>
  </si>
  <si>
    <t>Storytel представляет</t>
  </si>
  <si>
    <t xml:space="preserve">Подслушано. Культовые записи сообщества: сборник. </t>
  </si>
  <si>
    <t>978-5-386-12533-2</t>
  </si>
  <si>
    <t>9785386125332</t>
  </si>
  <si>
    <t>Подслушано. Культовые записи сообщества: сборник</t>
  </si>
  <si>
    <t xml:space="preserve">9675470             </t>
  </si>
  <si>
    <t>Strong Story</t>
  </si>
  <si>
    <t>Главарь банды на день. Изгой-социолог выходит на улицы. Венкатеш С.</t>
  </si>
  <si>
    <t>Венкатеш С.</t>
  </si>
  <si>
    <t>978-5-386-14143-1</t>
  </si>
  <si>
    <t>9785386141431</t>
  </si>
  <si>
    <t>Главарь банды на день. Изгой-социолог выходит на улицы</t>
  </si>
  <si>
    <t xml:space="preserve">9703310             </t>
  </si>
  <si>
    <t>Клуб элит. Вюргер Т.</t>
  </si>
  <si>
    <t>Вюргер Т.</t>
  </si>
  <si>
    <t>978-5-386-14108-0</t>
  </si>
  <si>
    <t>9785386141080</t>
  </si>
  <si>
    <t>Клуб элит</t>
  </si>
  <si>
    <t xml:space="preserve">11577900            </t>
  </si>
  <si>
    <t>True crime</t>
  </si>
  <si>
    <t>Исчезнувшая в полночь. Андерсон Дж.</t>
  </si>
  <si>
    <t>Андерсон Дж.</t>
  </si>
  <si>
    <t>978-5-386-15167-6</t>
  </si>
  <si>
    <t>9785386151676</t>
  </si>
  <si>
    <t>Исчезнувшая в полночь</t>
  </si>
  <si>
    <t xml:space="preserve">9879830             </t>
  </si>
  <si>
    <t>True story</t>
  </si>
  <si>
    <t>Самый одинокий полярный мишка. Уильямс К</t>
  </si>
  <si>
    <t>Уильямс К</t>
  </si>
  <si>
    <t>978-5-386-14505-7</t>
  </si>
  <si>
    <t>9785386145057</t>
  </si>
  <si>
    <t>Самый одинокий полярный мишка</t>
  </si>
  <si>
    <t>Экология</t>
  </si>
  <si>
    <t>Социальная экология. Экология человека</t>
  </si>
  <si>
    <t xml:space="preserve">10320100            </t>
  </si>
  <si>
    <t>Untitled - fiction</t>
  </si>
  <si>
    <t>Девочки против бога: роман. Вал Е.</t>
  </si>
  <si>
    <t>Вал Е.</t>
  </si>
  <si>
    <t>978-5-386-14692-4</t>
  </si>
  <si>
    <t>9785386146924</t>
  </si>
  <si>
    <t>Девочки против бога: роман</t>
  </si>
  <si>
    <t xml:space="preserve">10569040            </t>
  </si>
  <si>
    <t>Слабак. Уэллс Дж.</t>
  </si>
  <si>
    <t>Уэллс Дж.</t>
  </si>
  <si>
    <t>978-5-386-14885-0</t>
  </si>
  <si>
    <t>9785386148850</t>
  </si>
  <si>
    <t>Слабак</t>
  </si>
  <si>
    <t xml:space="preserve">10613790            </t>
  </si>
  <si>
    <t>Автобиография</t>
  </si>
  <si>
    <t>Семь лет за колючей проволокой. Доценко В.</t>
  </si>
  <si>
    <t>Доценко В.</t>
  </si>
  <si>
    <t>978-5-386-14871-3</t>
  </si>
  <si>
    <t>9785386148713</t>
  </si>
  <si>
    <t>Семь лет за колючей проволокой</t>
  </si>
  <si>
    <t xml:space="preserve">9527910             </t>
  </si>
  <si>
    <t>Авторская серия Владимира Аленикова</t>
  </si>
  <si>
    <t>Зеленая зона. Алеников В.М.</t>
  </si>
  <si>
    <t>978-5-386-13699-4</t>
  </si>
  <si>
    <t>9785386136994</t>
  </si>
  <si>
    <t>Зеленая зона</t>
  </si>
  <si>
    <t xml:space="preserve">9271660             </t>
  </si>
  <si>
    <t>Очень тихий городок. Алеников В.М.</t>
  </si>
  <si>
    <t>978-5-386-13562-1</t>
  </si>
  <si>
    <t>9785386135621</t>
  </si>
  <si>
    <t>Очень тихий городок</t>
  </si>
  <si>
    <t xml:space="preserve">11934370            </t>
  </si>
  <si>
    <t>Поиски любви. Алеников В.М.</t>
  </si>
  <si>
    <t>978-5-386-15551-3</t>
  </si>
  <si>
    <t>9785386155513</t>
  </si>
  <si>
    <t>Поиски любви</t>
  </si>
  <si>
    <t xml:space="preserve">10290610            </t>
  </si>
  <si>
    <t>Происки любви. Алеников В.М.</t>
  </si>
  <si>
    <t>978-5-386-14370-1</t>
  </si>
  <si>
    <t>9785386143701</t>
  </si>
  <si>
    <t>Происки любви</t>
  </si>
  <si>
    <t xml:space="preserve">9348600             </t>
  </si>
  <si>
    <t>Спальный район. Алеников В.М.</t>
  </si>
  <si>
    <t>978-5-386-13579-9</t>
  </si>
  <si>
    <t>9785386135799</t>
  </si>
  <si>
    <t>Спальный район</t>
  </si>
  <si>
    <t xml:space="preserve">9362470             </t>
  </si>
  <si>
    <t>Сумерки в спальном районе. Алеников В.М.</t>
  </si>
  <si>
    <t>978-5-386-13679-6</t>
  </si>
  <si>
    <t>9785386136796</t>
  </si>
  <si>
    <t>Сумерки в спальном районе</t>
  </si>
  <si>
    <t xml:space="preserve">9284070             </t>
  </si>
  <si>
    <t>Ублюдки. Алеников В.М.</t>
  </si>
  <si>
    <t>978-5-386-13576-8</t>
  </si>
  <si>
    <t>9785386135768</t>
  </si>
  <si>
    <t>Ублюдки</t>
  </si>
  <si>
    <t xml:space="preserve">8423220             </t>
  </si>
  <si>
    <t>Авторская серия Елены Граменицкой</t>
  </si>
  <si>
    <t>Скользящие души, или сказки Шварцвальда. Граменицкая Е.В.</t>
  </si>
  <si>
    <t>Граменицкая Е.В.</t>
  </si>
  <si>
    <t>978-5-386-10392-7</t>
  </si>
  <si>
    <t>9785386103927</t>
  </si>
  <si>
    <t>Скользящие души, или сказки Шварцвальда</t>
  </si>
  <si>
    <t xml:space="preserve">12071100            </t>
  </si>
  <si>
    <t>Авторы Шуфлядки</t>
  </si>
  <si>
    <t>Хронограф. Стрингель Е.</t>
  </si>
  <si>
    <t>Стрингель Е.</t>
  </si>
  <si>
    <t>978-5-386-15576-6</t>
  </si>
  <si>
    <t>9785386155766</t>
  </si>
  <si>
    <t>Хронограф</t>
  </si>
  <si>
    <t xml:space="preserve">9521050             </t>
  </si>
  <si>
    <t>Амулеты Степановой Н.И.</t>
  </si>
  <si>
    <t xml:space="preserve">Амулет "Девятисильный" Натальи Степановой (пакет). </t>
  </si>
  <si>
    <t>70х100/64</t>
  </si>
  <si>
    <t>978-5-386-13826-4</t>
  </si>
  <si>
    <t>9785386138264</t>
  </si>
  <si>
    <t>Амулет "Девятисильный" Натальи Степановой (пакет)</t>
  </si>
  <si>
    <t>Магия. Колдовство. Суеверия</t>
  </si>
  <si>
    <t xml:space="preserve">9975510             </t>
  </si>
  <si>
    <t xml:space="preserve">Амулет "Матронушка". </t>
  </si>
  <si>
    <t>978-5-386-13973-5</t>
  </si>
  <si>
    <t>9785386139735</t>
  </si>
  <si>
    <t>Амулет "Матронушка"</t>
  </si>
  <si>
    <t xml:space="preserve">9724800             </t>
  </si>
  <si>
    <t>Амулет "На защиту в пути". Степанова Н.И.</t>
  </si>
  <si>
    <t>Степанова Н.И.</t>
  </si>
  <si>
    <t>978-5-386-13979-7</t>
  </si>
  <si>
    <t>9785386139797</t>
  </si>
  <si>
    <t>Амулет "На защиту в пути"</t>
  </si>
  <si>
    <t xml:space="preserve">9257560             </t>
  </si>
  <si>
    <t>Амулет "Свеча Денежная". Степанова Н.И.</t>
  </si>
  <si>
    <t>84х90/64</t>
  </si>
  <si>
    <t>978-5-386-13531-7</t>
  </si>
  <si>
    <t>9785386135317</t>
  </si>
  <si>
    <t>Амулет "Свеча Денежная"</t>
  </si>
  <si>
    <t xml:space="preserve">9257550             </t>
  </si>
  <si>
    <t>Амулет "Свеча Оберег дома". Степанова Н.И.</t>
  </si>
  <si>
    <t>978-5-386-13530-0</t>
  </si>
  <si>
    <t>9785386135300</t>
  </si>
  <si>
    <t>Амулет "Свеча Оберег дома"</t>
  </si>
  <si>
    <t xml:space="preserve">9311610             </t>
  </si>
  <si>
    <t>Карты "Оракул сибирских старцев". Степанова Н.И.</t>
  </si>
  <si>
    <t>60х70/32</t>
  </si>
  <si>
    <t>978-5-386-13598-0</t>
  </si>
  <si>
    <t>9785386135980</t>
  </si>
  <si>
    <t>Карты "Оракул сибирских старцев"</t>
  </si>
  <si>
    <t xml:space="preserve">9675710             </t>
  </si>
  <si>
    <t>Магические карты. "Предсказания духов" (32 карты + руководство). Степанова Н.И.</t>
  </si>
  <si>
    <t>978-5-386-14031-1</t>
  </si>
  <si>
    <t>9785386140311</t>
  </si>
  <si>
    <t>Магические карты. "Предсказания духов" (32 карты + руководство)</t>
  </si>
  <si>
    <t xml:space="preserve">12041840            </t>
  </si>
  <si>
    <t>Андрей Васильев. Отель «Перекресток»</t>
  </si>
  <si>
    <t>Отель "Перекресток". Васильев А.</t>
  </si>
  <si>
    <t>Васильев А.</t>
  </si>
  <si>
    <t>978-5-386-15567-4</t>
  </si>
  <si>
    <t>9785386155674</t>
  </si>
  <si>
    <t>Отель "Перекресток"</t>
  </si>
  <si>
    <t xml:space="preserve">11095770            </t>
  </si>
  <si>
    <t>Антология русской души</t>
  </si>
  <si>
    <t>Наши русские чиновники: антология. Карлгоф В., Пушкин А.С., Гоголь Н.В. и др.</t>
  </si>
  <si>
    <t>Карлгоф В., Пушкин А.С., Гоголь Н.В. и др.</t>
  </si>
  <si>
    <t>978-5-386-15117-1</t>
  </si>
  <si>
    <t>9785386151171</t>
  </si>
  <si>
    <t>Наши русские чиновники: антология</t>
  </si>
  <si>
    <t xml:space="preserve">9252540             </t>
  </si>
  <si>
    <t>Артхаус</t>
  </si>
  <si>
    <t>После авангарда. От символизма до реализмов. Боровский А.Д</t>
  </si>
  <si>
    <t>Боровский А.Д</t>
  </si>
  <si>
    <t>978-5-386-12816-6</t>
  </si>
  <si>
    <t>9785386128166</t>
  </si>
  <si>
    <t>После авангарда. От символизма до реализмов</t>
  </si>
  <si>
    <t>Искусствоведение. История искусства</t>
  </si>
  <si>
    <t xml:space="preserve">9549470             </t>
  </si>
  <si>
    <t>Аспекты истории</t>
  </si>
  <si>
    <t>Рули как Черчилль. Уроки лидерства, управления и власти. Медведев Д.Л.</t>
  </si>
  <si>
    <t>978-5-386-13864-6</t>
  </si>
  <si>
    <t>9785386138646</t>
  </si>
  <si>
    <t>Рули как Черчилль. Уроки лидерства, управления и власти</t>
  </si>
  <si>
    <t xml:space="preserve">9287160             </t>
  </si>
  <si>
    <t>Атлас памяти</t>
  </si>
  <si>
    <t>Запрещенный Союз - 2: Последнее десятилетие глазами мистической богемы: документальный роман. Видеманн В.В.</t>
  </si>
  <si>
    <t>Видеманн В.В.</t>
  </si>
  <si>
    <t>978-5-386-12837-1</t>
  </si>
  <si>
    <t>9785386128371</t>
  </si>
  <si>
    <t>Запрещенный Союз - 2: Последнее десятилетие глазами мистической богемы: документальный роман</t>
  </si>
  <si>
    <t>Общественно-политическая публицистика</t>
  </si>
  <si>
    <t>233710</t>
  </si>
  <si>
    <t>Аюамарка</t>
  </si>
  <si>
    <t>Горизонты ада. Книга 2. Шэн Д</t>
  </si>
  <si>
    <t>Шэн Д</t>
  </si>
  <si>
    <t>2013</t>
  </si>
  <si>
    <t>978-5-386-05589-9</t>
  </si>
  <si>
    <t>9785386055899</t>
  </si>
  <si>
    <t xml:space="preserve">653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</si>
  <si>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Мистическая фантастика                                                                                                          </t>
  </si>
  <si>
    <t>Горизонты ада. Книга 2</t>
  </si>
  <si>
    <t xml:space="preserve">10480100            </t>
  </si>
  <si>
    <t>Бабушкины рецепты</t>
  </si>
  <si>
    <t>Напитки с градусом и без. Круглый год. Треер Г.М</t>
  </si>
  <si>
    <t>Треер Г.М.</t>
  </si>
  <si>
    <t>978-5-386-14801-0</t>
  </si>
  <si>
    <t>9785386148010</t>
  </si>
  <si>
    <t>Напитки с градусом и без. Круглый год</t>
  </si>
  <si>
    <t>Кулинария</t>
  </si>
  <si>
    <t>Напитки. Домашнее виноделие</t>
  </si>
  <si>
    <t xml:space="preserve">10482290            </t>
  </si>
  <si>
    <t>Секреты заготовок. Треер Г.М</t>
  </si>
  <si>
    <t>978-5-386-14799-0</t>
  </si>
  <si>
    <t>9785386147990</t>
  </si>
  <si>
    <t>Секреты заготовок</t>
  </si>
  <si>
    <t>Консервирование и хранение продуктов</t>
  </si>
  <si>
    <t xml:space="preserve">8601420             </t>
  </si>
  <si>
    <t>Бестселлер "The New York Times"</t>
  </si>
  <si>
    <t>76х108/32</t>
  </si>
  <si>
    <t>978-5-386-10778-9</t>
  </si>
  <si>
    <t>9785386107789</t>
  </si>
  <si>
    <t xml:space="preserve">10373370            </t>
  </si>
  <si>
    <t>Эта ночь была бархатной. Морено-Гарсиа С.</t>
  </si>
  <si>
    <t>978-5-386-14674-0</t>
  </si>
  <si>
    <t>9785386146740</t>
  </si>
  <si>
    <t>Эта ночь была бархатной</t>
  </si>
  <si>
    <t xml:space="preserve">9598890             </t>
  </si>
  <si>
    <t>Бестселлер года</t>
  </si>
  <si>
    <t>978-5-386-13977-3</t>
  </si>
  <si>
    <t>9785386139773</t>
  </si>
  <si>
    <t xml:space="preserve">8229370             </t>
  </si>
  <si>
    <t>Библиотека "UNIVERSUM"</t>
  </si>
  <si>
    <t>Встречи с замечательными людьми. Гюрджиев Г.И.</t>
  </si>
  <si>
    <t>Гюрджиев Г.И.</t>
  </si>
  <si>
    <t>978-5-386-10118-3</t>
  </si>
  <si>
    <t>9785386101183</t>
  </si>
  <si>
    <t>Встречи с замечательными людьми</t>
  </si>
  <si>
    <t xml:space="preserve">11578620            </t>
  </si>
  <si>
    <t>Библиотека Лавкрафта</t>
  </si>
  <si>
    <t>Желание покоя. Ле Фаню Дж.Ш.</t>
  </si>
  <si>
    <t>978-5-386-15317-5</t>
  </si>
  <si>
    <t>9785386153175</t>
  </si>
  <si>
    <t>Желание покоя</t>
  </si>
  <si>
    <t>11663970</t>
  </si>
  <si>
    <t>Желание покоя; Жук. Таинственная история; Дом о Семи Шпилях (комплект из 3-х книг). Ле Фаню Дж.Ш., Готорн Н., Марш Р.</t>
  </si>
  <si>
    <t>Ле Фаню Дж.Ш., Готорн Н., Марш Р.</t>
  </si>
  <si>
    <t>978-5-521-84476-0</t>
  </si>
  <si>
    <t>9785521844760</t>
  </si>
  <si>
    <t>Желание покоя; Жук. Таинственная история; Дом о Семи Шпилях (комплект из 3-х книг)</t>
  </si>
  <si>
    <t xml:space="preserve">11436270            </t>
  </si>
  <si>
    <t>Занони. Бульвер-Литтон Э.Дж.</t>
  </si>
  <si>
    <t>Бульвер-Литтон Э.Дж.</t>
  </si>
  <si>
    <t>978-5-386-15141-6</t>
  </si>
  <si>
    <t>9785386151416</t>
  </si>
  <si>
    <t>Занони</t>
  </si>
  <si>
    <t>11664070</t>
  </si>
  <si>
    <t>Занони; Тайная слава; Скорбь Сатаны (комплект из 3-х книг). Мейчен А., Корелли М., Бульвер-Литтон Э.Дж.</t>
  </si>
  <si>
    <t>Мейчен А., Корелли М., Бульвер-Литтон Э.Дж.</t>
  </si>
  <si>
    <t>978-5-521-84479-1</t>
  </si>
  <si>
    <t>9785521844791</t>
  </si>
  <si>
    <t>Занони; Тайная слава; Скорбь Сатаны (комплект из 3-х книг)</t>
  </si>
  <si>
    <t xml:space="preserve">11067710            </t>
  </si>
  <si>
    <t>Зеленый круг. Мейчен А.</t>
  </si>
  <si>
    <t>Мейчен А.</t>
  </si>
  <si>
    <t>978-5-386-15091-4</t>
  </si>
  <si>
    <t>9785386150914</t>
  </si>
  <si>
    <t>Зеленый круг</t>
  </si>
  <si>
    <t xml:space="preserve">11145080            </t>
  </si>
  <si>
    <t>Злоключения Джона Николсона. Стивенсон Р.Л.</t>
  </si>
  <si>
    <t>Стивенсон Р.Л.</t>
  </si>
  <si>
    <t>978-5-386-15126-3</t>
  </si>
  <si>
    <t>9785386151263</t>
  </si>
  <si>
    <t>Злоключения Джона Николсона</t>
  </si>
  <si>
    <t xml:space="preserve">11909630            </t>
  </si>
  <si>
    <t>Имя на камне. Лафкадио Хирн (Коидзуми Якумо)</t>
  </si>
  <si>
    <t>Лафкадио Хирн (Коидзуми Якумо)</t>
  </si>
  <si>
    <t>978-5-386-15425-7</t>
  </si>
  <si>
    <t>9785386154257</t>
  </si>
  <si>
    <t>Имя на камне</t>
  </si>
  <si>
    <t xml:space="preserve">11436580            </t>
  </si>
  <si>
    <t>Клуб "Непокорные". Бакен Дж.</t>
  </si>
  <si>
    <t>978-5-386-15219-2</t>
  </si>
  <si>
    <t>9785386152192</t>
  </si>
  <si>
    <t>Клуб "Непокорные"</t>
  </si>
  <si>
    <t xml:space="preserve">10536280            </t>
  </si>
  <si>
    <t>Книги Судей. Бенсон Э.Ф.</t>
  </si>
  <si>
    <t>Бенсон Э.Ф.</t>
  </si>
  <si>
    <t>978-5-386-14879-9</t>
  </si>
  <si>
    <t>9785386148799</t>
  </si>
  <si>
    <t>Книги Судей</t>
  </si>
  <si>
    <t xml:space="preserve">10881720            </t>
  </si>
  <si>
    <t>978-5-386-14985-7</t>
  </si>
  <si>
    <t>9785386149857</t>
  </si>
  <si>
    <t xml:space="preserve">11774620            </t>
  </si>
  <si>
    <t>Обезьянья лапа. Джекобс В.В</t>
  </si>
  <si>
    <t>Джекобс В.В</t>
  </si>
  <si>
    <t>978-5-386-15289-5</t>
  </si>
  <si>
    <t>9785386152895</t>
  </si>
  <si>
    <t>Обезьянья лапа</t>
  </si>
  <si>
    <t>11664340</t>
  </si>
  <si>
    <t>Обмен душами; Аватара; Король в Желтом ( комплект из 3-х книг). Готье Т., Чамберс Р., Пейн Б.</t>
  </si>
  <si>
    <t>Готье Т., Чамберс Р., Пейн Б.</t>
  </si>
  <si>
    <t>978-5-521-84495-1</t>
  </si>
  <si>
    <t>9785521844951</t>
  </si>
  <si>
    <t>Обмен душами; Аватара; Король в Желтом ( комплект из 3-х книг)</t>
  </si>
  <si>
    <t xml:space="preserve">11610340            </t>
  </si>
  <si>
    <t>Огненная Немезида. Блэквуд Э.</t>
  </si>
  <si>
    <t>Блэквуд Э.</t>
  </si>
  <si>
    <t>978-5-386-15345-8</t>
  </si>
  <si>
    <t>9785386153458</t>
  </si>
  <si>
    <t>Огненная Немезида</t>
  </si>
  <si>
    <t xml:space="preserve">11290130            </t>
  </si>
  <si>
    <t>Октава Клавдия: мистические истории о борьбе за счастье. Пейн Б.</t>
  </si>
  <si>
    <t>Пейн Б.</t>
  </si>
  <si>
    <t>978-5-386-15169-0</t>
  </si>
  <si>
    <t>9785386151690</t>
  </si>
  <si>
    <t>Октава Клавдия: мистические истории о борьбе за счастье</t>
  </si>
  <si>
    <t xml:space="preserve">10994690            </t>
  </si>
  <si>
    <t>Песок. Блэквуд Э.</t>
  </si>
  <si>
    <t>978-5-386-15072-3</t>
  </si>
  <si>
    <t>9785386150723</t>
  </si>
  <si>
    <t>Песок</t>
  </si>
  <si>
    <t xml:space="preserve">11821600            </t>
  </si>
  <si>
    <t>Пьер, или Двусмысленности. Мелвилл Г.</t>
  </si>
  <si>
    <t>Мелвилл Г.</t>
  </si>
  <si>
    <t>978-5-386-15288-8</t>
  </si>
  <si>
    <t>9785386152888</t>
  </si>
  <si>
    <t>Пьер, или Двусмысленности</t>
  </si>
  <si>
    <t xml:space="preserve">10994710            </t>
  </si>
  <si>
    <t>Сияющая пирамида. Мейчен А.</t>
  </si>
  <si>
    <t>978-5-386-15039-6</t>
  </si>
  <si>
    <t>9785386150396</t>
  </si>
  <si>
    <t>Сияющая пирамида</t>
  </si>
  <si>
    <t xml:space="preserve">11476240            </t>
  </si>
  <si>
    <t>Сквозь тусклое стекло. Ле Фаню Дж.Ш.</t>
  </si>
  <si>
    <t>978-5-386-15245-1</t>
  </si>
  <si>
    <t>9785386152451</t>
  </si>
  <si>
    <t>Сквозь тусклое стекло</t>
  </si>
  <si>
    <t xml:space="preserve">10535500            </t>
  </si>
  <si>
    <t>978-5-386-14874-4</t>
  </si>
  <si>
    <t>9785386148744</t>
  </si>
  <si>
    <t xml:space="preserve">11067720            </t>
  </si>
  <si>
    <t>Смятение. Мейчен А.</t>
  </si>
  <si>
    <t>978-5-386-15098-3</t>
  </si>
  <si>
    <t>9785386150983</t>
  </si>
  <si>
    <t>Смятение</t>
  </si>
  <si>
    <t>11664050</t>
  </si>
  <si>
    <t>Смятение; Сквозь тусклое стекло; Огненная Немезида (комплект из 3-х книг). Ле Фаню Дж.Ш., Блэквуд Э., Мейчен А.</t>
  </si>
  <si>
    <t>Ле Фаню Дж.Ш., Блэквуд Э., Мейчен А.</t>
  </si>
  <si>
    <t>978-5-521-84478-4</t>
  </si>
  <si>
    <t>9785521844784</t>
  </si>
  <si>
    <t>Смятение; Сквозь тусклое стекло; Огненная Немезида (комплект из 3-х книг)</t>
  </si>
  <si>
    <t xml:space="preserve">10488810            </t>
  </si>
  <si>
    <t>Стенающий колодец. Джеймс М.Р.</t>
  </si>
  <si>
    <t>Джеймс М.Р.</t>
  </si>
  <si>
    <t>978-5-386-14682-5</t>
  </si>
  <si>
    <t>9785386146825</t>
  </si>
  <si>
    <t>Стенающий колодец</t>
  </si>
  <si>
    <t>11664160</t>
  </si>
  <si>
    <t>Стенающий колодец; Книги Судей; Недобрый гость (комплект из 3-х книг). Джеймс М.Р., Ле Фаню Дж.Ш., Бенсон Э.Ф.</t>
  </si>
  <si>
    <t>Джеймс М.Р., Ле Фаню Дж.Ш., Бенсон Э.Ф.</t>
  </si>
  <si>
    <t>978-5-521-84485-2</t>
  </si>
  <si>
    <t>9785521844852</t>
  </si>
  <si>
    <t>Стенающий колодец; Книги Судей; Недобрый гость (комплект из 3-х книг)</t>
  </si>
  <si>
    <t xml:space="preserve">10994700            </t>
  </si>
  <si>
    <t>Тайная слава. Мейчен А.</t>
  </si>
  <si>
    <t>978-5-386-15055-6</t>
  </si>
  <si>
    <t>9785386150556</t>
  </si>
  <si>
    <t>Тайная слава</t>
  </si>
  <si>
    <t xml:space="preserve">11844280            </t>
  </si>
  <si>
    <t>Тварь среди водорослей. Ходжсон У.Х.</t>
  </si>
  <si>
    <t>Ходжсон У.Х.</t>
  </si>
  <si>
    <t>978-5-386-15433-2</t>
  </si>
  <si>
    <t>9785386154332</t>
  </si>
  <si>
    <t>Тварь среди водорослей</t>
  </si>
  <si>
    <t xml:space="preserve">11612830            </t>
  </si>
  <si>
    <t>Франкенштейн, или Современный Прометей. Шелли М.</t>
  </si>
  <si>
    <t>Шелли М.</t>
  </si>
  <si>
    <t>978-5-386-15291-8</t>
  </si>
  <si>
    <t>9785386152918</t>
  </si>
  <si>
    <t>Франкенштейн, или Современный Прометей</t>
  </si>
  <si>
    <t xml:space="preserve">11578940            </t>
  </si>
  <si>
    <t>Шах и мат. Ле Фаню Дж.Ш.</t>
  </si>
  <si>
    <t>978-5-386-15301-4</t>
  </si>
  <si>
    <t>9785386153014</t>
  </si>
  <si>
    <t>Шах и мат</t>
  </si>
  <si>
    <t xml:space="preserve">10809410            </t>
  </si>
  <si>
    <t>Эдгар Хантли, или Мемуары сомнамбулы. Браун Ч.Б</t>
  </si>
  <si>
    <t>Браун Ч.Б.</t>
  </si>
  <si>
    <t>978-5-386-14984-0</t>
  </si>
  <si>
    <t>9785386149840</t>
  </si>
  <si>
    <t>Эдгар Хантли, или Мемуары сомнамбулы</t>
  </si>
  <si>
    <t xml:space="preserve">9774250             </t>
  </si>
  <si>
    <t>Библиотека приключенческого романа</t>
  </si>
  <si>
    <t>Во власти стихий. Кн. 1. Васкес-Фигероа А.</t>
  </si>
  <si>
    <t>978-5-386-14252-0</t>
  </si>
  <si>
    <t>9785386142520</t>
  </si>
  <si>
    <t>Во власти стихий. Кн. 1</t>
  </si>
  <si>
    <t xml:space="preserve">9776030             </t>
  </si>
  <si>
    <t>Во власти стихий. Кн. 2: Чужие земли. Васкес-Фигероа А.</t>
  </si>
  <si>
    <t>978-5-386-14386-2</t>
  </si>
  <si>
    <t>9785386143862</t>
  </si>
  <si>
    <t>Во власти стихий. Кн. 2: Чужие земли</t>
  </si>
  <si>
    <t xml:space="preserve">9603660             </t>
  </si>
  <si>
    <t>Гароэ. Остров новых надежд. Васкес-Фигероа А.</t>
  </si>
  <si>
    <t>978-5-386-13919-3</t>
  </si>
  <si>
    <t>9785386139193</t>
  </si>
  <si>
    <t>Гароэ. Остров новых надежд</t>
  </si>
  <si>
    <t xml:space="preserve">9847360             </t>
  </si>
  <si>
    <t>Испанец. Священные земли Инков. Васкес-Фигероа А.</t>
  </si>
  <si>
    <t>978-5-386-14513-2</t>
  </si>
  <si>
    <t>9785386145132</t>
  </si>
  <si>
    <t>Испанец. Священные земли Инков</t>
  </si>
  <si>
    <t>10276400</t>
  </si>
  <si>
    <t>Туарег (комплект из 2-х книг). Васкес-Фигероа А.</t>
  </si>
  <si>
    <t>978-5-386-14684-9</t>
  </si>
  <si>
    <t>9785386146849</t>
  </si>
  <si>
    <t>Туарег (комплект из 2-х книг)</t>
  </si>
  <si>
    <t xml:space="preserve">10033500            </t>
  </si>
  <si>
    <t>978-5-386-14605-4</t>
  </si>
  <si>
    <t>9785386146054</t>
  </si>
  <si>
    <t xml:space="preserve">9554690             </t>
  </si>
  <si>
    <t>Туарег. Воин пустыни. Васкес-Фигероа А.</t>
  </si>
  <si>
    <t>978-5-386-13839-4</t>
  </si>
  <si>
    <t>9785386138394</t>
  </si>
  <si>
    <t>Туарег. Воин пустыни</t>
  </si>
  <si>
    <t>12027400</t>
  </si>
  <si>
    <t>Туарег. Воин пустыни; Туарег 2; Последний Туарег. Кн. 3 (комплект из 3-х книг). Васкес-Фигероа А.</t>
  </si>
  <si>
    <t>978-5-8853-8974-7</t>
  </si>
  <si>
    <t>9785885389747</t>
  </si>
  <si>
    <t>Туарег. Воин пустыни; Туарег 2; Последний Туарег. Кн. 3 (комплект из 3-х книг)</t>
  </si>
  <si>
    <t xml:space="preserve">10511990            </t>
  </si>
  <si>
    <t>Уругуру. Санаев А.</t>
  </si>
  <si>
    <t>978-5-386-14825-6</t>
  </si>
  <si>
    <t>9785386148256</t>
  </si>
  <si>
    <t>Уругуру</t>
  </si>
  <si>
    <t>Русская приключенческая проза</t>
  </si>
  <si>
    <t xml:space="preserve">9239220             </t>
  </si>
  <si>
    <t>Библиотека Экхарта Толле</t>
  </si>
  <si>
    <t>978-5-386-13502-7</t>
  </si>
  <si>
    <t>9785386135027</t>
  </si>
  <si>
    <t xml:space="preserve">8440830             </t>
  </si>
  <si>
    <t>978-5-386-10279-1</t>
  </si>
  <si>
    <t>9785386102791</t>
  </si>
  <si>
    <t xml:space="preserve">11144230            </t>
  </si>
  <si>
    <t>Бизнес литература</t>
  </si>
  <si>
    <t>Основы системных решений по модели Черчилля. Медведев Д.Л.</t>
  </si>
  <si>
    <t>978-5-386-14865-2</t>
  </si>
  <si>
    <t>9785386148652</t>
  </si>
  <si>
    <t>Основы системных решений по модели Черчилля</t>
  </si>
  <si>
    <t>Общий менеджмент. Теория управления</t>
  </si>
  <si>
    <t xml:space="preserve">10375040            </t>
  </si>
  <si>
    <t>Большая проза</t>
  </si>
  <si>
    <t>Братья: роман. МакКормик К.</t>
  </si>
  <si>
    <t>МакКормик К.</t>
  </si>
  <si>
    <t>978-5-386-14715-0</t>
  </si>
  <si>
    <t>9785386147150</t>
  </si>
  <si>
    <t>Братья: роман</t>
  </si>
  <si>
    <t xml:space="preserve">11610380            </t>
  </si>
  <si>
    <t>Долговая палочка. Никсон К.</t>
  </si>
  <si>
    <t>Никсон К.</t>
  </si>
  <si>
    <t>978-5-386-15230-7</t>
  </si>
  <si>
    <t>9785386152307</t>
  </si>
  <si>
    <t>Долговая палочка</t>
  </si>
  <si>
    <t xml:space="preserve">11502990            </t>
  </si>
  <si>
    <t>Женщина в библиотеке. Джентилл С.</t>
  </si>
  <si>
    <t>Джентилл С.</t>
  </si>
  <si>
    <t>978-5-386-15233-8</t>
  </si>
  <si>
    <t>9785386152338</t>
  </si>
  <si>
    <t>Женщина в библиотеке</t>
  </si>
  <si>
    <t xml:space="preserve">11265110            </t>
  </si>
  <si>
    <t>Масло. Юзуки А.</t>
  </si>
  <si>
    <t>Юзуки А.</t>
  </si>
  <si>
    <t>978-5-386-15023-5</t>
  </si>
  <si>
    <t>9785386150235</t>
  </si>
  <si>
    <t>Масло</t>
  </si>
  <si>
    <t xml:space="preserve">10292800            </t>
  </si>
  <si>
    <t>Мой год с Сэлинджером. Рэйкофф Дж.</t>
  </si>
  <si>
    <t>Рэйкофф Дж.</t>
  </si>
  <si>
    <t>978-5-386-14665-8</t>
  </si>
  <si>
    <t>9785386146658</t>
  </si>
  <si>
    <t>Мой год с Сэлинджером</t>
  </si>
  <si>
    <t xml:space="preserve">11936020            </t>
  </si>
  <si>
    <t>Плод пьяного дерева. Рохас Контрерас И.</t>
  </si>
  <si>
    <t>Рохас Контрерас И.</t>
  </si>
  <si>
    <t>978-5-386-15112-6</t>
  </si>
  <si>
    <t>9785386151126</t>
  </si>
  <si>
    <t>Плод пьяного дерева</t>
  </si>
  <si>
    <t xml:space="preserve">10583360            </t>
  </si>
  <si>
    <t>Смерть в Сонагачи. Дас Р.</t>
  </si>
  <si>
    <t>Дас Р.</t>
  </si>
  <si>
    <t>978-5-386-14915-4</t>
  </si>
  <si>
    <t>9785386149154</t>
  </si>
  <si>
    <t>Смерть в Сонагачи</t>
  </si>
  <si>
    <t xml:space="preserve">9671380             </t>
  </si>
  <si>
    <t>Большой роман</t>
  </si>
  <si>
    <t>Ночь нежна: роман. Фицджеральд Ф.С.К.</t>
  </si>
  <si>
    <t>Фицджеральд Ф.С.К.</t>
  </si>
  <si>
    <t>978-5-386-14187-5</t>
  </si>
  <si>
    <t>9785386141875</t>
  </si>
  <si>
    <t>Ночь нежна: роман</t>
  </si>
  <si>
    <t xml:space="preserve">9699770             </t>
  </si>
  <si>
    <t>Состояние свободы. Мукерджи Н.</t>
  </si>
  <si>
    <t>Мукерджи Н.</t>
  </si>
  <si>
    <t>978-5-386-14109-7</t>
  </si>
  <si>
    <t>9785386141097</t>
  </si>
  <si>
    <t>Состояние свободы</t>
  </si>
  <si>
    <t>311209</t>
  </si>
  <si>
    <t>Бумажные города</t>
  </si>
  <si>
    <t>Десять вещей, которые я теперь знаю о любви. Батлер С.</t>
  </si>
  <si>
    <t>Батлер С.</t>
  </si>
  <si>
    <t>2018</t>
  </si>
  <si>
    <t>978-5-386-07541-5</t>
  </si>
  <si>
    <t>9785386075415</t>
  </si>
  <si>
    <t xml:space="preserve">611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</si>
  <si>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Зарубежная проза                                                                                                                </t>
  </si>
  <si>
    <t>Десять вещей, которые я теперь знаю о любви</t>
  </si>
  <si>
    <t xml:space="preserve">8604890             </t>
  </si>
  <si>
    <t>Короткая глава в моей невероятной жизни. Рейнхардт Д.</t>
  </si>
  <si>
    <t>Рейнхардт Д.</t>
  </si>
  <si>
    <t>978-5-386-10585-3</t>
  </si>
  <si>
    <t>9785386105853</t>
  </si>
  <si>
    <t>Короткая глава в моей невероятной жизни</t>
  </si>
  <si>
    <t xml:space="preserve">8465150             </t>
  </si>
  <si>
    <t>Лайкни меня. Кунер Д.</t>
  </si>
  <si>
    <t>Кунер Д.</t>
  </si>
  <si>
    <t>978-5-386-10529-7</t>
  </si>
  <si>
    <t>9785386105297</t>
  </si>
  <si>
    <t>Лайкни меня</t>
  </si>
  <si>
    <t xml:space="preserve">8824550             </t>
  </si>
  <si>
    <t>Последний маленький голубой конверт: роман. Джонсон М.</t>
  </si>
  <si>
    <t>Джонсон М.</t>
  </si>
  <si>
    <t>978-5-386-12187-7</t>
  </si>
  <si>
    <t>9785386121877</t>
  </si>
  <si>
    <t>Последний маленький голубой конверт: роман</t>
  </si>
  <si>
    <t xml:space="preserve">8567860             </t>
  </si>
  <si>
    <t>Эланус. ПознанскиУ.</t>
  </si>
  <si>
    <t>ПознанскиУ.</t>
  </si>
  <si>
    <t>978-5-386-10673-7</t>
  </si>
  <si>
    <t>9785386106737</t>
  </si>
  <si>
    <t>Эланус</t>
  </si>
  <si>
    <t xml:space="preserve">8679710             </t>
  </si>
  <si>
    <t>Бумажные города (pocket-book)</t>
  </si>
  <si>
    <t>Стань моим парнем. Уэст К.</t>
  </si>
  <si>
    <t>Уэст К.</t>
  </si>
  <si>
    <t>978-5-386-10682-9</t>
  </si>
  <si>
    <t>9785386106829</t>
  </si>
  <si>
    <t>Стань моим парнем</t>
  </si>
  <si>
    <t xml:space="preserve">9150950             </t>
  </si>
  <si>
    <t>В поисках утраченного времени</t>
  </si>
  <si>
    <t>978-5-386-13463-1</t>
  </si>
  <si>
    <t>9785386134631</t>
  </si>
  <si>
    <t xml:space="preserve">8558580             </t>
  </si>
  <si>
    <t>Конец парада. Т.1. Каждому свое: роман. Форд Ф.М.</t>
  </si>
  <si>
    <t>978-5-386-10538-9</t>
  </si>
  <si>
    <t>9785386105389</t>
  </si>
  <si>
    <t>Конец парада. Т.1. Каждому свое: роман</t>
  </si>
  <si>
    <t xml:space="preserve">8404510             </t>
  </si>
  <si>
    <t>Пробуждение: повесть. Шопен К.</t>
  </si>
  <si>
    <t>Шопен К.</t>
  </si>
  <si>
    <t>978-5-386-10395-8</t>
  </si>
  <si>
    <t>9785386103958</t>
  </si>
  <si>
    <t>Пробуждение: повесть</t>
  </si>
  <si>
    <t xml:space="preserve">9690150             </t>
  </si>
  <si>
    <t>Великие биографии</t>
  </si>
  <si>
    <t>Байрон. Диккенс. Две эпохи английской литературы. Анненская А.Н., Александров Н.Н.</t>
  </si>
  <si>
    <t>Анненская А.Н., Александров Н.Н.</t>
  </si>
  <si>
    <t>978-5-386-14239-1</t>
  </si>
  <si>
    <t>9785386142391</t>
  </si>
  <si>
    <t>Байрон. Диккенс. Две эпохи английской литературы</t>
  </si>
  <si>
    <t xml:space="preserve">9686590             </t>
  </si>
  <si>
    <t>Гаврила Державин. Михаил Сперанский. Лики права в Российской империи. Брилиант С.М., Южаков С.Н.</t>
  </si>
  <si>
    <t>Брилиант С.М., Южаков С.Н.</t>
  </si>
  <si>
    <t>978-5-386-14228-5</t>
  </si>
  <si>
    <t>9785386142285</t>
  </si>
  <si>
    <t>Гаврила Державин. Михаил Сперанский. Лики права в Российской империи</t>
  </si>
  <si>
    <t xml:space="preserve">9686560             </t>
  </si>
  <si>
    <t>Гай Юлий Цезарь. Цицерон. Величайшие деятели Римской республики. Орлов Е.Н.</t>
  </si>
  <si>
    <t>Орлов Е.Н.</t>
  </si>
  <si>
    <t>978-5-386-14232-2</t>
  </si>
  <si>
    <t>9785386142322</t>
  </si>
  <si>
    <t>Гай Юлий Цезарь. Цицерон. Величайшие деятели Римской республики</t>
  </si>
  <si>
    <t xml:space="preserve">9690830             </t>
  </si>
  <si>
    <t>Даниель Дефо. Джонатан Свифт. «Робинзон» и «Гулливер» в истории Англии XVIII века. Анненская А.Н.</t>
  </si>
  <si>
    <t>Анненская А.Н.</t>
  </si>
  <si>
    <t>978-5-386-14233-9</t>
  </si>
  <si>
    <t>9785386142339</t>
  </si>
  <si>
    <t>Даниель Дефо. Джонатан Свифт. «Робинзон» и «Гулливер» в истории Англии XVIII века</t>
  </si>
  <si>
    <t xml:space="preserve">9702190             </t>
  </si>
  <si>
    <t>Джордж Вашингтон. Бенджамин Франклин. Отцы-основатели США. Чепинский В.В., Абрамов Я.В</t>
  </si>
  <si>
    <t>Чепинский В.В., Абрамов Я.В.</t>
  </si>
  <si>
    <t>978-5-386-14178-3</t>
  </si>
  <si>
    <t>9785386141783</t>
  </si>
  <si>
    <t>Джордж Вашингтон. Бенджамин Франклин. Отцы-основатели США</t>
  </si>
  <si>
    <t xml:space="preserve">9680470             </t>
  </si>
  <si>
    <t>Джузеппе Гарибальди. Фердинанд Лассаль. Народные вожди и мыслители. Цомакион А.И., Классен В.Я.</t>
  </si>
  <si>
    <t>Цомакион А.И., Классен В.Я.</t>
  </si>
  <si>
    <t>978-5-386-14201-8</t>
  </si>
  <si>
    <t>9785386142018</t>
  </si>
  <si>
    <t>Джузеппе Гарибальди. Фердинанд Лассаль. Народные вожди и мыслители</t>
  </si>
  <si>
    <t xml:space="preserve">9688070             </t>
  </si>
  <si>
    <t>Оноре де Бальзак. Жорж Санд. О жизни и дружбе французских писателей. Анненская А.Н.</t>
  </si>
  <si>
    <t>978-5-386-14216-2</t>
  </si>
  <si>
    <t>9785386142162</t>
  </si>
  <si>
    <t>Оноре де Бальзак. Жорж Санд. О жизни и дружбе французских писателей</t>
  </si>
  <si>
    <t xml:space="preserve">9709570             </t>
  </si>
  <si>
    <t>Патриарх Никон. Протопоп Аввакум. «Отцы Раскола» и церковная реформа. Быков А.А., Мякотин В.А.</t>
  </si>
  <si>
    <t>Быков А.А., Мякотин В.А.</t>
  </si>
  <si>
    <t>978-5-386-14312-1</t>
  </si>
  <si>
    <t>9785386143121</t>
  </si>
  <si>
    <t>Патриарх Никон. Протопоп Аввакум. «Отцы Раскола» и церковная реформа</t>
  </si>
  <si>
    <t>История России</t>
  </si>
  <si>
    <t xml:space="preserve">9686600             </t>
  </si>
  <si>
    <t>Рафаэль. Микеланджело. Гении эпохи Возрождения. Брилиант С.М.</t>
  </si>
  <si>
    <t>Брилиант С.М.</t>
  </si>
  <si>
    <t>978-5-386-14229-2</t>
  </si>
  <si>
    <t>9785386142292</t>
  </si>
  <si>
    <t>Рафаэль. Микеланджело. Гении эпохи Возрождения</t>
  </si>
  <si>
    <t>Изобразительное искусство</t>
  </si>
  <si>
    <t xml:space="preserve">9680450             </t>
  </si>
  <si>
    <t>Ришелье. Рене Декарт. Французские мыслители. Ранцов В.Л., Папер Г.А.</t>
  </si>
  <si>
    <t>Ранцов В.Л., Папер Г.А.</t>
  </si>
  <si>
    <t>978-5-386-14198-1</t>
  </si>
  <si>
    <t>9785386141981</t>
  </si>
  <si>
    <t>Ришелье. Рене Декарт. Французские мыслители</t>
  </si>
  <si>
    <t xml:space="preserve">8394550             </t>
  </si>
  <si>
    <t>Великие зарубежные живописцы</t>
  </si>
  <si>
    <t>Огюст Ренуар. Биография. Картины. История создания. Сост. Журавлева М.О.</t>
  </si>
  <si>
    <t>Сост. Журавлева М.О.</t>
  </si>
  <si>
    <t>978-5-386-10442-9</t>
  </si>
  <si>
    <t>9785386104429</t>
  </si>
  <si>
    <t>Огюст Ренуар. Биография. Картины. История создания</t>
  </si>
  <si>
    <t xml:space="preserve">8651730             </t>
  </si>
  <si>
    <t>Поль Гоген. Биография. Картины. История создания. Сост. Гаврильчик А.М.</t>
  </si>
  <si>
    <t>Сост. Гаврильчик А.М.</t>
  </si>
  <si>
    <t>978-5-386-10713-0</t>
  </si>
  <si>
    <t>9785386107130</t>
  </si>
  <si>
    <t>Поль Гоген. Биография. Картины. История создания</t>
  </si>
  <si>
    <t xml:space="preserve">8651740             </t>
  </si>
  <si>
    <t>Поль Сезанн. Биография. Картины. История создания. Сост. Бобкова А.А.</t>
  </si>
  <si>
    <t>Сост. Бобкова А.А.</t>
  </si>
  <si>
    <t>978-5-386-10714-7</t>
  </si>
  <si>
    <t>9785386107147</t>
  </si>
  <si>
    <t>Поль Сезанн. Биография. Картины. История создания</t>
  </si>
  <si>
    <t xml:space="preserve">9792210             </t>
  </si>
  <si>
    <t>Великие мысли великих людей</t>
  </si>
  <si>
    <t xml:space="preserve">Бизнес в цитатах и афоризмах. </t>
  </si>
  <si>
    <t>978-5-386-14404-3</t>
  </si>
  <si>
    <t>9785386144043</t>
  </si>
  <si>
    <t>Бизнес в цитатах и афоризмах</t>
  </si>
  <si>
    <t>Юмор. Афоризмы</t>
  </si>
  <si>
    <t>Афоризмы. Цитаты</t>
  </si>
  <si>
    <t xml:space="preserve">9664070             </t>
  </si>
  <si>
    <t>Великие мысли великих людей. Средневековье и Просвещение. Сост. Кондрашов А.П.</t>
  </si>
  <si>
    <t>Сост. Кондрашов А.П.</t>
  </si>
  <si>
    <t>978-5-386-14136-3</t>
  </si>
  <si>
    <t>9785386141363</t>
  </si>
  <si>
    <t>Великие мысли великих людей. Средневековье и Просвещение</t>
  </si>
  <si>
    <t>12030820</t>
  </si>
  <si>
    <t>Великие мысли великих людей: В 3-х т (в коробе). Сост. Кондрашов А.П.</t>
  </si>
  <si>
    <t>978-5-386-15539-1</t>
  </si>
  <si>
    <t>9785386155391</t>
  </si>
  <si>
    <t>Великие мысли великих людей: В 3-х т (в коробе)</t>
  </si>
  <si>
    <t xml:space="preserve">9750120             </t>
  </si>
  <si>
    <t>Власть в цитатах и афоризмах. Сост. Кондрашов А.П.</t>
  </si>
  <si>
    <t>978-5-386-14307-7</t>
  </si>
  <si>
    <t>9785386143077</t>
  </si>
  <si>
    <t>Власть в цитатах и афоризмах</t>
  </si>
  <si>
    <t xml:space="preserve">9968080             </t>
  </si>
  <si>
    <t>Древний Восток и Античность в цитатах и афоризмах. Сост. Кондрашов А.П.</t>
  </si>
  <si>
    <t>978-5-386-14537-8</t>
  </si>
  <si>
    <t>9785386145378</t>
  </si>
  <si>
    <t>Древний Восток и Античность в цитатах и афоризмах</t>
  </si>
  <si>
    <t xml:space="preserve">9968230             </t>
  </si>
  <si>
    <t>Новое время и XIX - XX век в цитатах и афоризмах. Сост. Кондрашов А.П.</t>
  </si>
  <si>
    <t>978-5-386-14535-4</t>
  </si>
  <si>
    <t>9785386145354</t>
  </si>
  <si>
    <t>Новое время и XIX - XX век в цитатах и афоризмах</t>
  </si>
  <si>
    <t xml:space="preserve">9968220             </t>
  </si>
  <si>
    <t>Средневековье и Просвещение в цитатах и афоризмах. Сост. Кондрашов А.П.</t>
  </si>
  <si>
    <t>978-5-386-14536-1</t>
  </si>
  <si>
    <t>9785386145361</t>
  </si>
  <si>
    <t>Средневековье и Просвещение в цитатах и афоризмах</t>
  </si>
  <si>
    <t>316734</t>
  </si>
  <si>
    <t>Великие художники России</t>
  </si>
  <si>
    <t>Великие художники России. Дмитрий Григорьевич Левицкий. Орлова Е.</t>
  </si>
  <si>
    <t>Орлова Е.</t>
  </si>
  <si>
    <t>2014</t>
  </si>
  <si>
    <t>978-5-386-07888-1</t>
  </si>
  <si>
    <t>9785386078881</t>
  </si>
  <si>
    <t xml:space="preserve">851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</si>
  <si>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Живопись                                                                                                                        </t>
  </si>
  <si>
    <t>Великие художники России. Дмитрий Григорьевич Левицкий</t>
  </si>
  <si>
    <t>240841</t>
  </si>
  <si>
    <t>Визуальная энциклопедия</t>
  </si>
  <si>
    <t>Как читать ландшафты. Интенсивный курс по изучению природных ландшафтов. Ярхэм Р.</t>
  </si>
  <si>
    <t>Ярхэм Р.</t>
  </si>
  <si>
    <t>60х90/24</t>
  </si>
  <si>
    <t>978-5-386-06355-9</t>
  </si>
  <si>
    <t>9785386063559</t>
  </si>
  <si>
    <t xml:space="preserve">164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</si>
  <si>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Географические науки                                                                                                            </t>
  </si>
  <si>
    <t>Как читать ландшафты. Интенсивный курс по изучению природных ландшафтов</t>
  </si>
  <si>
    <t>Общие вопросы наук о Земле</t>
  </si>
  <si>
    <t xml:space="preserve">9549460             </t>
  </si>
  <si>
    <t>Вихри времени</t>
  </si>
  <si>
    <t>Вихрь 1. День, когда разорвался мир. Беннинг А.</t>
  </si>
  <si>
    <t>Беннинг А.</t>
  </si>
  <si>
    <t>978-5-386-13861-5</t>
  </si>
  <si>
    <t>9785386138615</t>
  </si>
  <si>
    <t>Вихрь 1. День, когда разорвался мир</t>
  </si>
  <si>
    <t xml:space="preserve">9733880             </t>
  </si>
  <si>
    <t>Вихрь 2. Девушка, которая прорвалась сквозь время. Беннинг А.</t>
  </si>
  <si>
    <t>978-5-386-14366-4</t>
  </si>
  <si>
    <t>9785386143664</t>
  </si>
  <si>
    <t>Вихрь 2. Девушка, которая прорвалась сквозь время</t>
  </si>
  <si>
    <t xml:space="preserve">10292810            </t>
  </si>
  <si>
    <t>Вихрь 3. Любовь, которая стала новым началом (белый обрез). Беннинг А.</t>
  </si>
  <si>
    <t>978-5-386-14649-8</t>
  </si>
  <si>
    <t>9785386146498</t>
  </si>
  <si>
    <t>Вихрь 3. Любовь, которая стала новым началом (белый обрез)</t>
  </si>
  <si>
    <t xml:space="preserve">9825550             </t>
  </si>
  <si>
    <t>Вихрь</t>
  </si>
  <si>
    <t>Леди Хелен 1. Клуб "Темные времена". Гудман Э.</t>
  </si>
  <si>
    <t>978-5-386-14193-6</t>
  </si>
  <si>
    <t>9785386141936</t>
  </si>
  <si>
    <t>Леди Хелен 1. Клуб "Темные времена"</t>
  </si>
  <si>
    <t xml:space="preserve">9825840             </t>
  </si>
  <si>
    <t>Леди Хелен 2. Соглашение клуба "Темные времена". Гудман Э.</t>
  </si>
  <si>
    <t>978-5-386-14194-3</t>
  </si>
  <si>
    <t>9785386141943</t>
  </si>
  <si>
    <t>Леди Хелен 2. Соглашение клуба "Темные времена"</t>
  </si>
  <si>
    <t xml:space="preserve">10845840            </t>
  </si>
  <si>
    <t>Леди Хелен. Финал клуба "Темные времена". Гудман Э.</t>
  </si>
  <si>
    <t>978-5-386-14949-9</t>
  </si>
  <si>
    <t>9785386149499</t>
  </si>
  <si>
    <t>Леди Хелен. Финал клуба "Темные времена"</t>
  </si>
  <si>
    <t xml:space="preserve">10232640            </t>
  </si>
  <si>
    <t>Мрачно темнеющий свет. Клусс Дж.</t>
  </si>
  <si>
    <t>Клусс Дж.</t>
  </si>
  <si>
    <t>978-5-386-14645-0</t>
  </si>
  <si>
    <t>9785386146450</t>
  </si>
  <si>
    <t>Мрачно темнеющий свет</t>
  </si>
  <si>
    <t xml:space="preserve">9672630             </t>
  </si>
  <si>
    <t>Эона. Рождение легенды. Гудман Э.</t>
  </si>
  <si>
    <t>978-5-386-14183-7</t>
  </si>
  <si>
    <t>9785386141837</t>
  </si>
  <si>
    <t>Эона. Рождение легенды</t>
  </si>
  <si>
    <t xml:space="preserve">10166370            </t>
  </si>
  <si>
    <t>Ярко пылающая тень. Клусс Дж.</t>
  </si>
  <si>
    <t>978-5-386-14621-4</t>
  </si>
  <si>
    <t>9785386146214</t>
  </si>
  <si>
    <t>Ярко пылающая тень</t>
  </si>
  <si>
    <t xml:space="preserve">11953460            </t>
  </si>
  <si>
    <t>Внукознание</t>
  </si>
  <si>
    <t>Тайны современных внуков. Путеводитель для мудрых бабушек и дедушек. Михайлина Е</t>
  </si>
  <si>
    <t>Михайлина Е</t>
  </si>
  <si>
    <t>978-5-386-15542-1</t>
  </si>
  <si>
    <t>9785386155421</t>
  </si>
  <si>
    <t>Тайны современных внуков. Путеводитель для мудрых бабушек и дедушек</t>
  </si>
  <si>
    <t>Книги для родителей</t>
  </si>
  <si>
    <t>Психология для родителей. Семейное воспитание</t>
  </si>
  <si>
    <t xml:space="preserve">11030290            </t>
  </si>
  <si>
    <t>Военная проза. Подарочные издания</t>
  </si>
  <si>
    <t>Горячий снег: роман. Бондарев Ю.В.</t>
  </si>
  <si>
    <t>Бондарев Ю.В.</t>
  </si>
  <si>
    <t>978-5-386-15005-1</t>
  </si>
  <si>
    <t>9785386150051</t>
  </si>
  <si>
    <t>Горячий снег: роман</t>
  </si>
  <si>
    <t>Военная проза</t>
  </si>
  <si>
    <t>не указано</t>
  </si>
  <si>
    <t xml:space="preserve">10809730            </t>
  </si>
  <si>
    <t>Молодая гвардия: роман. Фадеев А.А.</t>
  </si>
  <si>
    <t>Фадеев А.А.</t>
  </si>
  <si>
    <t>978-5-386-14986-4</t>
  </si>
  <si>
    <t>9785386149864</t>
  </si>
  <si>
    <t>Молодая гвардия: роман</t>
  </si>
  <si>
    <t xml:space="preserve">10560370            </t>
  </si>
  <si>
    <t>Волшебная лавка Есении</t>
  </si>
  <si>
    <t>Дай пас!. Рой О.Ю.</t>
  </si>
  <si>
    <t>86х90/16</t>
  </si>
  <si>
    <t>978-5-386-14886-7</t>
  </si>
  <si>
    <t>9785386148867</t>
  </si>
  <si>
    <t>Дай пас!</t>
  </si>
  <si>
    <t xml:space="preserve">10649370            </t>
  </si>
  <si>
    <t>Неразговорчивое настроение. Рой О.Ю.</t>
  </si>
  <si>
    <t>978-5-386-14894-2</t>
  </si>
  <si>
    <t>9785386148942</t>
  </si>
  <si>
    <t>Неразговорчивое настроение</t>
  </si>
  <si>
    <t xml:space="preserve">10566060            </t>
  </si>
  <si>
    <t>Нестройные кубики. Рой О.Ю.</t>
  </si>
  <si>
    <t>978-5-386-14887-4</t>
  </si>
  <si>
    <t>9785386148874</t>
  </si>
  <si>
    <t>Нестройные кубики</t>
  </si>
  <si>
    <t xml:space="preserve">10567470            </t>
  </si>
  <si>
    <t>Ночная красавица. Рой О.Ю.</t>
  </si>
  <si>
    <t>978-5-386-14889-8</t>
  </si>
  <si>
    <t>9785386148898</t>
  </si>
  <si>
    <t>Ночная красавица</t>
  </si>
  <si>
    <t xml:space="preserve">10631020            </t>
  </si>
  <si>
    <t>Успокоительные вертелки. Рой О.Ю.</t>
  </si>
  <si>
    <t>978-5-386-14893-5</t>
  </si>
  <si>
    <t>9785386148935</t>
  </si>
  <si>
    <t>Успокоительные вертелки</t>
  </si>
  <si>
    <t xml:space="preserve">9585890             </t>
  </si>
  <si>
    <t>Волшебный мир</t>
  </si>
  <si>
    <t>Магазин из Ниоткуда. МакКензи Р.</t>
  </si>
  <si>
    <t>МакКензи Р.</t>
  </si>
  <si>
    <t>978-5-386-13911-7</t>
  </si>
  <si>
    <t>9785386139117</t>
  </si>
  <si>
    <t>Магазин из Ниоткуда</t>
  </si>
  <si>
    <t xml:space="preserve">10021680            </t>
  </si>
  <si>
    <t>Восток</t>
  </si>
  <si>
    <t>Цветы в тумане. Вглядываясь в Азию. Малявин В.В.</t>
  </si>
  <si>
    <t>978-5-386-14445-6</t>
  </si>
  <si>
    <t>9785386144456</t>
  </si>
  <si>
    <t>Цветы в тумане. Вглядываясь в Азию</t>
  </si>
  <si>
    <t>Рассказы путешественников и натуралистов</t>
  </si>
  <si>
    <t xml:space="preserve">8221760             </t>
  </si>
  <si>
    <t>Вселенная историй</t>
  </si>
  <si>
    <t>Четырнадцатая золотая рыбка. Холм Дж.Л.</t>
  </si>
  <si>
    <t>Холм Дж.Л.</t>
  </si>
  <si>
    <t>978-5-386-10239-5</t>
  </si>
  <si>
    <t>9785386102395</t>
  </si>
  <si>
    <t>Четырнадцатая золотая рыбка</t>
  </si>
  <si>
    <t xml:space="preserve">9111480             </t>
  </si>
  <si>
    <t>Выбор редакции</t>
  </si>
  <si>
    <t>978-5-386-12755-8</t>
  </si>
  <si>
    <t>9785386127558</t>
  </si>
  <si>
    <t xml:space="preserve">9752030             </t>
  </si>
  <si>
    <t>Галерея слов</t>
  </si>
  <si>
    <t>Ранние грозы. Крестовская М.В.</t>
  </si>
  <si>
    <t>Крестовская М.В.</t>
  </si>
  <si>
    <t>978-5-386-14382-4</t>
  </si>
  <si>
    <t>9785386143824</t>
  </si>
  <si>
    <t>Ранние грозы</t>
  </si>
  <si>
    <t xml:space="preserve">8229240             </t>
  </si>
  <si>
    <t>Генетика для всех</t>
  </si>
  <si>
    <t>Прожорливый ген. Гейнор М.Л.</t>
  </si>
  <si>
    <t>Гейнор М.Л.</t>
  </si>
  <si>
    <t>978-5-386-10064-3</t>
  </si>
  <si>
    <t>9785386100643</t>
  </si>
  <si>
    <t>Прожорливый ген</t>
  </si>
  <si>
    <t>Биологические науки</t>
  </si>
  <si>
    <t>Генетика</t>
  </si>
  <si>
    <t xml:space="preserve">10556480            </t>
  </si>
  <si>
    <t>Гилберт new</t>
  </si>
  <si>
    <t>Большое волшебство. Гилберт Э.</t>
  </si>
  <si>
    <t>978-5-386-14909-3</t>
  </si>
  <si>
    <t>9785386149093</t>
  </si>
  <si>
    <t>Большое волшебство</t>
  </si>
  <si>
    <t xml:space="preserve">10225460            </t>
  </si>
  <si>
    <t>978-5-386-14630-6</t>
  </si>
  <si>
    <t>9785386146306</t>
  </si>
  <si>
    <t xml:space="preserve">10384460            </t>
  </si>
  <si>
    <t>978-5-386-14722-8</t>
  </si>
  <si>
    <t>9785386147228</t>
  </si>
  <si>
    <t xml:space="preserve">10384390            </t>
  </si>
  <si>
    <t>Самая лучшая жена: сборник рассказов. Гилберт Э.</t>
  </si>
  <si>
    <t>978-5-386-14723-5</t>
  </si>
  <si>
    <t>9785386147235</t>
  </si>
  <si>
    <t>Самая лучшая жена: сборник рассказов</t>
  </si>
  <si>
    <t xml:space="preserve">10394800            </t>
  </si>
  <si>
    <t>Гилберт лучшее</t>
  </si>
  <si>
    <t>978-5-386-14659-7</t>
  </si>
  <si>
    <t>9785386146597</t>
  </si>
  <si>
    <t xml:space="preserve">10406720            </t>
  </si>
  <si>
    <t>Есть, молиться, любить: роман. Гилберт Э.</t>
  </si>
  <si>
    <t>978-5-386-14658-0</t>
  </si>
  <si>
    <t>9785386146580</t>
  </si>
  <si>
    <t>Есть, молиться, любить: роман</t>
  </si>
  <si>
    <t xml:space="preserve">11947210            </t>
  </si>
  <si>
    <t>Главный герой</t>
  </si>
  <si>
    <t>Игра на вылет. Малинина М.</t>
  </si>
  <si>
    <t>Малинина М.</t>
  </si>
  <si>
    <t>978-5-386-15532-2</t>
  </si>
  <si>
    <t>9785386155322</t>
  </si>
  <si>
    <t>Игра на вылет</t>
  </si>
  <si>
    <t xml:space="preserve">8573970             </t>
  </si>
  <si>
    <t>Глазами иностранцев</t>
  </si>
  <si>
    <t>О чем думают индусы? 1336 фактов. От Ганди до карри. Сингх С.</t>
  </si>
  <si>
    <t>Сингх С.</t>
  </si>
  <si>
    <t>978-5-386-10649-2</t>
  </si>
  <si>
    <t>9785386106492</t>
  </si>
  <si>
    <t>О чем думают индусы? 1336 фактов. От Ганди до карри</t>
  </si>
  <si>
    <t xml:space="preserve">9501490             </t>
  </si>
  <si>
    <t>Город женщин</t>
  </si>
  <si>
    <t>978-5-386-13778-6</t>
  </si>
  <si>
    <t>9785386137786</t>
  </si>
  <si>
    <t xml:space="preserve">9675700             </t>
  </si>
  <si>
    <t>978-5-386-14207-0</t>
  </si>
  <si>
    <t>9785386142070</t>
  </si>
  <si>
    <t xml:space="preserve">9591720             </t>
  </si>
  <si>
    <t>Мосты округа Мэдисон: роман. Уоллер Р.Дж.</t>
  </si>
  <si>
    <t>Уоллер Р.Дж.</t>
  </si>
  <si>
    <t>978-5-386-13931-5</t>
  </si>
  <si>
    <t>9785386139315</t>
  </si>
  <si>
    <t>Мосты округа Мэдисон: роман</t>
  </si>
  <si>
    <t xml:space="preserve">9801690             </t>
  </si>
  <si>
    <t>Горы, люди, приключения</t>
  </si>
  <si>
    <t>Живой Алтай. Горы, люди, приключения. Рыжков В.А.</t>
  </si>
  <si>
    <t>Рыжков В.А.</t>
  </si>
  <si>
    <t>978-5-386-14139-4</t>
  </si>
  <si>
    <t>9785386141394</t>
  </si>
  <si>
    <t>Живой Алтай. Горы, люди, приключения</t>
  </si>
  <si>
    <t xml:space="preserve">11199020            </t>
  </si>
  <si>
    <t>Готовим со вкусом</t>
  </si>
  <si>
    <t>Напитки с градусом и без. Треер Г.М.</t>
  </si>
  <si>
    <t>978-5-386-15159-1</t>
  </si>
  <si>
    <t>9785386151591</t>
  </si>
  <si>
    <t>Напитки с градусом и без</t>
  </si>
  <si>
    <t xml:space="preserve">11199000            </t>
  </si>
  <si>
    <t>Паста, макароны, спагетти, фетучини. Треер Г.М.</t>
  </si>
  <si>
    <t>978-5-386-15162-1</t>
  </si>
  <si>
    <t>9785386151621</t>
  </si>
  <si>
    <t>Паста, макароны, спагетти, фетучини</t>
  </si>
  <si>
    <t>Поваренные книги. Кулинарные рецепты</t>
  </si>
  <si>
    <t xml:space="preserve">11198990            </t>
  </si>
  <si>
    <t>Рагу и запеканки. Треер Г.М.</t>
  </si>
  <si>
    <t>978-5-386-15161-4</t>
  </si>
  <si>
    <t>9785386151614</t>
  </si>
  <si>
    <t>Рагу и запеканки</t>
  </si>
  <si>
    <t xml:space="preserve">9153000             </t>
  </si>
  <si>
    <t>ГринЛит</t>
  </si>
  <si>
    <t>978-5-386-12706-0</t>
  </si>
  <si>
    <t>9785386127060</t>
  </si>
  <si>
    <t xml:space="preserve">9613260             </t>
  </si>
  <si>
    <t>Дерево желаний</t>
  </si>
  <si>
    <t>Исследователь: роман. Ранделл К.</t>
  </si>
  <si>
    <t>Ранделл К.</t>
  </si>
  <si>
    <t>978-5-386-14000-7</t>
  </si>
  <si>
    <t>9785386140007</t>
  </si>
  <si>
    <t>Исследователь: роман</t>
  </si>
  <si>
    <t xml:space="preserve">9575050             </t>
  </si>
  <si>
    <t>Королевский корги. Кроули Дж.</t>
  </si>
  <si>
    <t>Кроули Дж.</t>
  </si>
  <si>
    <t>978-5-386-13777-9</t>
  </si>
  <si>
    <t>9785386137779</t>
  </si>
  <si>
    <t>Королевский корги</t>
  </si>
  <si>
    <t>Приключения</t>
  </si>
  <si>
    <t xml:space="preserve">9688020             </t>
  </si>
  <si>
    <t>Десять лучших книг для подростков</t>
  </si>
  <si>
    <t>В погоне за тобой. Семь способов тебя завоевать. Уокер К.</t>
  </si>
  <si>
    <t>Уокер К.</t>
  </si>
  <si>
    <t>978-5-386-14069-4</t>
  </si>
  <si>
    <t>9785386140694</t>
  </si>
  <si>
    <t>В погоне за тобой. Семь способов тебя завоевать</t>
  </si>
  <si>
    <t xml:space="preserve">9631220             </t>
  </si>
  <si>
    <t>Звезды в твоих глазах. Беннет Дж.</t>
  </si>
  <si>
    <t>978-5-386-14003-8</t>
  </si>
  <si>
    <t>9785386140038</t>
  </si>
  <si>
    <t>Звезды в твоих глазах</t>
  </si>
  <si>
    <t xml:space="preserve">9666890             </t>
  </si>
  <si>
    <t>Скажи нам правду. Рейнхардт Д.</t>
  </si>
  <si>
    <t>978-5-386-14070-0</t>
  </si>
  <si>
    <t>9785386140700</t>
  </si>
  <si>
    <t>Скажи нам правду</t>
  </si>
  <si>
    <t>Проза. Драматургия</t>
  </si>
  <si>
    <t xml:space="preserve">9678880             </t>
  </si>
  <si>
    <t>Толстушка в самолете. ДеВос К.</t>
  </si>
  <si>
    <t>ДеВос К.</t>
  </si>
  <si>
    <t>978-5-386-14107-3</t>
  </si>
  <si>
    <t>9785386141073</t>
  </si>
  <si>
    <t>Толстушка в самолете</t>
  </si>
  <si>
    <t xml:space="preserve">9695560             </t>
  </si>
  <si>
    <t>Десять лучших книг для подростков. Второй сезон</t>
  </si>
  <si>
    <t>Лунный свет. Беннет Дж.</t>
  </si>
  <si>
    <t>978-5-386-14220-9</t>
  </si>
  <si>
    <t>9785386142209</t>
  </si>
  <si>
    <t>Лунный свет</t>
  </si>
  <si>
    <t xml:space="preserve">9676980             </t>
  </si>
  <si>
    <t>Любовь на краю света. Крамер И.</t>
  </si>
  <si>
    <t>Крамер И.</t>
  </si>
  <si>
    <t>978-5-386-14148-6</t>
  </si>
  <si>
    <t>9785386141486</t>
  </si>
  <si>
    <t>Любовь на краю света</t>
  </si>
  <si>
    <t>224104</t>
  </si>
  <si>
    <t>Детское творчество</t>
  </si>
  <si>
    <t xml:space="preserve">Детское творчество. Украшаем рамки для фотографий. </t>
  </si>
  <si>
    <t>2012</t>
  </si>
  <si>
    <t>978-5-386-05244-7</t>
  </si>
  <si>
    <t>9785386052447</t>
  </si>
  <si>
    <t xml:space="preserve">782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</si>
  <si>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Детские ремесла, поделки, оригами                                                                                               </t>
  </si>
  <si>
    <t>Детское творчество. Украшаем рамки для фотографий</t>
  </si>
  <si>
    <t>Детское творчество и досуг</t>
  </si>
  <si>
    <t>Мастерим своими руками</t>
  </si>
  <si>
    <t xml:space="preserve">9401410             </t>
  </si>
  <si>
    <t>Дженн Беннет</t>
  </si>
  <si>
    <t>978-5-386-13624-6</t>
  </si>
  <si>
    <t>9785386136246</t>
  </si>
  <si>
    <t xml:space="preserve">9494740             </t>
  </si>
  <si>
    <t>Диагностика личности</t>
  </si>
  <si>
    <t>Женские имена. Цифровой психоанализ: практическое руководство. Александров А.Ф.</t>
  </si>
  <si>
    <t>Александров А.Ф.</t>
  </si>
  <si>
    <t>978-5-386-13771-7</t>
  </si>
  <si>
    <t>9785386137717</t>
  </si>
  <si>
    <t>Женские имена. Цифровой психоанализ: практическое руководство</t>
  </si>
  <si>
    <t xml:space="preserve">9494750             </t>
  </si>
  <si>
    <t>Мужские имена. Цифровой психоанализ: практическое руководство. Александров А.Ф.</t>
  </si>
  <si>
    <t>978-5-386-13770-0</t>
  </si>
  <si>
    <t>9785386137700</t>
  </si>
  <si>
    <t>Мужские имена. Цифровой психоанализ: практическое руководство</t>
  </si>
  <si>
    <t xml:space="preserve">9642140             </t>
  </si>
  <si>
    <t>Дневник Гуантанамо</t>
  </si>
  <si>
    <t>Мавританец. Особо опасен. Абсолютно невиновен? (пер.). Слахи ульд М.</t>
  </si>
  <si>
    <t>Слахи ульд М.</t>
  </si>
  <si>
    <t>978-5-386-14032-8</t>
  </si>
  <si>
    <t>9785386140328</t>
  </si>
  <si>
    <t>Мавританец. Особо опасен. Абсолютно невиновен? (пер.)</t>
  </si>
  <si>
    <t xml:space="preserve">9147770             </t>
  </si>
  <si>
    <t>Довлатов</t>
  </si>
  <si>
    <t>Довлатов: время, место, судьба. Сухих И.Н.</t>
  </si>
  <si>
    <t>Сухих И.Н.</t>
  </si>
  <si>
    <t>978-5-386-12806-7</t>
  </si>
  <si>
    <t>9785386128067</t>
  </si>
  <si>
    <t>Довлатов: время, место, судьба</t>
  </si>
  <si>
    <t>Творческие биографии писателей</t>
  </si>
  <si>
    <t xml:space="preserve">9979950             </t>
  </si>
  <si>
    <t>Документальная повесть</t>
  </si>
  <si>
    <t>Груз. Горянин А.Б.</t>
  </si>
  <si>
    <t>Горянин А.Б.</t>
  </si>
  <si>
    <t>978-5-386-14402-9</t>
  </si>
  <si>
    <t>9785386144029</t>
  </si>
  <si>
    <t>Груз</t>
  </si>
  <si>
    <t xml:space="preserve">9064540             </t>
  </si>
  <si>
    <t>Документальные рассказы</t>
  </si>
  <si>
    <t>Очень личная история. Опыт преодоления: Сборник. Даровская О.</t>
  </si>
  <si>
    <t>Даровская О.</t>
  </si>
  <si>
    <t>978-5-386-12685-8</t>
  </si>
  <si>
    <t>9785386126858</t>
  </si>
  <si>
    <t>Очень личная история. Опыт преодоления: Сборник</t>
  </si>
  <si>
    <t xml:space="preserve">11627620            </t>
  </si>
  <si>
    <t>Дрянные девчонки</t>
  </si>
  <si>
    <t>Красавица Бешарам. Вейл Л.</t>
  </si>
  <si>
    <t>Вейл Л.</t>
  </si>
  <si>
    <t>978-5-386-15401-1</t>
  </si>
  <si>
    <t>9785386154011</t>
  </si>
  <si>
    <t>Красавица Бешарам</t>
  </si>
  <si>
    <t xml:space="preserve">11536080            </t>
  </si>
  <si>
    <t>Непристойные уроки любви. Мюррей А.</t>
  </si>
  <si>
    <t>Мюррей А.</t>
  </si>
  <si>
    <t>978-5-386-15206-2</t>
  </si>
  <si>
    <t>9785386152062</t>
  </si>
  <si>
    <t>Непристойные уроки любви</t>
  </si>
  <si>
    <t xml:space="preserve">9803310             </t>
  </si>
  <si>
    <t>Есть, молиться, любить Mini</t>
  </si>
  <si>
    <t>978-5-386-14444-9</t>
  </si>
  <si>
    <t>9785386144449</t>
  </si>
  <si>
    <t xml:space="preserve">9812100             </t>
  </si>
  <si>
    <t>978-5-386-14443-2</t>
  </si>
  <si>
    <t>9785386144432</t>
  </si>
  <si>
    <t xml:space="preserve">11168220            </t>
  </si>
  <si>
    <t>Желтая серия</t>
  </si>
  <si>
    <t>978-5-386-15157-7</t>
  </si>
  <si>
    <t>9785386151577</t>
  </si>
  <si>
    <t xml:space="preserve">10025130            </t>
  </si>
  <si>
    <t>Энциклопедия эрудита. Сост. Кондрашов А.П.</t>
  </si>
  <si>
    <t>978-5-386-14587-3</t>
  </si>
  <si>
    <t>9785386145873</t>
  </si>
  <si>
    <t>Энциклопедия эрудита</t>
  </si>
  <si>
    <t>Справочные издания</t>
  </si>
  <si>
    <t>Универсальные словари и энциклопедии</t>
  </si>
  <si>
    <t xml:space="preserve">11490190            </t>
  </si>
  <si>
    <t>Женщины-легенды</t>
  </si>
  <si>
    <t>Анна Павлова. Легенда русского балета. Литвинская (Ерофеева) Е.В.</t>
  </si>
  <si>
    <t>Литвинская (Ерофеева) Е.В.</t>
  </si>
  <si>
    <t>978-5-386-15313-7</t>
  </si>
  <si>
    <t>9785386153137</t>
  </si>
  <si>
    <t>Анна Павлова. Легенда русского балета</t>
  </si>
  <si>
    <t xml:space="preserve">11490200            </t>
  </si>
  <si>
    <t>Наталья Гончарова. Муза А.С. Пушкина. Литвинская (Ерофеева) Е.В.</t>
  </si>
  <si>
    <t>978-5-386-15316-8</t>
  </si>
  <si>
    <t>9785386153168</t>
  </si>
  <si>
    <t>Наталья Гончарова. Муза А.С. Пушкина</t>
  </si>
  <si>
    <t xml:space="preserve">10555960            </t>
  </si>
  <si>
    <t>Загадки истории</t>
  </si>
  <si>
    <t>Молот ведьм. Шпренгер Я., Крамер (Инститорис) Г</t>
  </si>
  <si>
    <t>Шпренгер Я., Крамер (Инститорис) Г</t>
  </si>
  <si>
    <t>978-5-386-14905-5</t>
  </si>
  <si>
    <t>9785386149055</t>
  </si>
  <si>
    <t>Молот ведьм</t>
  </si>
  <si>
    <t>Христианство</t>
  </si>
  <si>
    <t>Католицизм</t>
  </si>
  <si>
    <t xml:space="preserve">10933700            </t>
  </si>
  <si>
    <t>Загадочные миры. Приключения</t>
  </si>
  <si>
    <t>Петтерсы. Дети гор. Воля П.А</t>
  </si>
  <si>
    <t>Воля П.А.</t>
  </si>
  <si>
    <t>978-5-386-15040-2</t>
  </si>
  <si>
    <t>9785386150402</t>
  </si>
  <si>
    <t>Петтерсы. Дети гор</t>
  </si>
  <si>
    <t xml:space="preserve">10240320            </t>
  </si>
  <si>
    <t>Петтерсы. Дети океанов. Воля П.А.</t>
  </si>
  <si>
    <t>978-5-386-14610-8</t>
  </si>
  <si>
    <t>9785386146108</t>
  </si>
  <si>
    <t>Петтерсы. Дети океанов</t>
  </si>
  <si>
    <t>11092800</t>
  </si>
  <si>
    <t>Петтерсы. Дети океанов; Дети гор (комплект в 2-х книгах). Воля П.А.</t>
  </si>
  <si>
    <t>978-5-521-80825-0</t>
  </si>
  <si>
    <t>9785521808250</t>
  </si>
  <si>
    <t>Петтерсы. Дети океанов; Дети гор (комплект в 2-х книгах)</t>
  </si>
  <si>
    <t xml:space="preserve">10512000            </t>
  </si>
  <si>
    <t>Загадочные миры. Фэнтези</t>
  </si>
  <si>
    <t>Дом зеркал. Улисс Мур</t>
  </si>
  <si>
    <t>Улисс Мур</t>
  </si>
  <si>
    <t>978-5-386-14851-5</t>
  </si>
  <si>
    <t>9785386148515</t>
  </si>
  <si>
    <t>Дом зеркал</t>
  </si>
  <si>
    <t xml:space="preserve">10236480            </t>
  </si>
  <si>
    <t>Лавка забытых карт. Улисс Мур</t>
  </si>
  <si>
    <t>978-5-386-14655-9</t>
  </si>
  <si>
    <t>9785386146559</t>
  </si>
  <si>
    <t>Лавка забытых карт</t>
  </si>
  <si>
    <t xml:space="preserve">10041650            </t>
  </si>
  <si>
    <t>Магазин из Ниоткуда. Ученик чародея. МакКензи Р.</t>
  </si>
  <si>
    <t>978-5-386-14441-8</t>
  </si>
  <si>
    <t>9785386144418</t>
  </si>
  <si>
    <t>Магазин из Ниоткуда. Ученик чародея</t>
  </si>
  <si>
    <t>320280</t>
  </si>
  <si>
    <t>Заграница без вранья</t>
  </si>
  <si>
    <t>Корея без вранья. Кирьянов О.В.</t>
  </si>
  <si>
    <t>Кирьянов О.В.</t>
  </si>
  <si>
    <t>978-5-386-08381-6</t>
  </si>
  <si>
    <t>9785386083816</t>
  </si>
  <si>
    <t xml:space="preserve">037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</si>
  <si>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Этнография.  Этнология. Традиции. Праздники. Ритуалы                                                                            </t>
  </si>
  <si>
    <t>Корея без вранья</t>
  </si>
  <si>
    <t xml:space="preserve">7923680             </t>
  </si>
  <si>
    <t>Сирия без вранья. Виноградов А.А.</t>
  </si>
  <si>
    <t>Виноградов А.А.</t>
  </si>
  <si>
    <t>978-5-386-09669-4</t>
  </si>
  <si>
    <t>9785386096694</t>
  </si>
  <si>
    <t>Сирия без вранья</t>
  </si>
  <si>
    <t xml:space="preserve">9157270             </t>
  </si>
  <si>
    <t>Что такое Барселона. Хамон, пляжи, независтимость. Гаврилова Д.</t>
  </si>
  <si>
    <t>Гаврилова Д.</t>
  </si>
  <si>
    <t>978-5-386-13446-4</t>
  </si>
  <si>
    <t>9785386134464</t>
  </si>
  <si>
    <t>Что такое Барселона. Хамон, пляжи, независтимость</t>
  </si>
  <si>
    <t xml:space="preserve">8987070             </t>
  </si>
  <si>
    <t>Что такое Израиль. Шамир И.</t>
  </si>
  <si>
    <t>Шамир И.</t>
  </si>
  <si>
    <t>978-5-386-12464-9</t>
  </si>
  <si>
    <t>9785386124649</t>
  </si>
  <si>
    <t>Что такое Израиль</t>
  </si>
  <si>
    <t xml:space="preserve">8925100             </t>
  </si>
  <si>
    <t>Что такое Мадейра. Остальский А.В.</t>
  </si>
  <si>
    <t>Остальский А.В.</t>
  </si>
  <si>
    <t>978-5-386-12419-9</t>
  </si>
  <si>
    <t>9785386124199</t>
  </si>
  <si>
    <t>Что такое Мадейра</t>
  </si>
  <si>
    <t xml:space="preserve">8569550             </t>
  </si>
  <si>
    <t>Здоровый образ жизни и долголетие</t>
  </si>
  <si>
    <t>Как излечить боли в спине и болезни позвоночника. Лучшие проверенные рецепты. Андреева Е.А.</t>
  </si>
  <si>
    <t>Андреева Е.А.</t>
  </si>
  <si>
    <t>978-5-386-10721-5</t>
  </si>
  <si>
    <t>9785386107215</t>
  </si>
  <si>
    <t>Как излечить боли в спине и болезни позвоночника. Лучшие проверенные рецепты</t>
  </si>
  <si>
    <t xml:space="preserve">9610740             </t>
  </si>
  <si>
    <t>Здоровье - образ жизни</t>
  </si>
  <si>
    <t>Маркеры старения. Смирнов А.В., Кононенко И.</t>
  </si>
  <si>
    <t>Смирнов А.В., Кононенко И.</t>
  </si>
  <si>
    <t>978-5-386-13948-3</t>
  </si>
  <si>
    <t>9785386139483</t>
  </si>
  <si>
    <t>Маркеры старения</t>
  </si>
  <si>
    <t>230027</t>
  </si>
  <si>
    <t>Здоровье и красота</t>
  </si>
  <si>
    <t>Лечение болезней печени. Гитун Т.В.</t>
  </si>
  <si>
    <t>Гитун Т.В.</t>
  </si>
  <si>
    <t>978-5-386-05439-7</t>
  </si>
  <si>
    <t>9785386054397</t>
  </si>
  <si>
    <t xml:space="preserve">352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</si>
  <si>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Гастроэнтерология. Эндокринология                                                                                               </t>
  </si>
  <si>
    <t>Лечение болезней печени</t>
  </si>
  <si>
    <t xml:space="preserve">8651700             </t>
  </si>
  <si>
    <t>Зеркало</t>
  </si>
  <si>
    <t>Зеркальный гамбит. Бортникова Л., Провоторов А.</t>
  </si>
  <si>
    <t>Бортникова Л., Провоторов А.</t>
  </si>
  <si>
    <t>978-5-386-10818-2</t>
  </si>
  <si>
    <t>9785386108182</t>
  </si>
  <si>
    <t>Зеркальный гамбит</t>
  </si>
  <si>
    <t xml:space="preserve">8793960             </t>
  </si>
  <si>
    <t>Отражение тайны. Градинар Д., Щетинина Е</t>
  </si>
  <si>
    <t>Градинар Д., Щетинина Е</t>
  </si>
  <si>
    <t>978-5-386-12198-3</t>
  </si>
  <si>
    <t>9785386121983</t>
  </si>
  <si>
    <t>Отражение тайны</t>
  </si>
  <si>
    <t xml:space="preserve">8700320             </t>
  </si>
  <si>
    <t>По ту сторону отражений: сборник рассказов. Кн. 2. Кокоулин А.А., Ясинская М.Л.</t>
  </si>
  <si>
    <t>Кокоулин А.А., Ясинская М.Л.</t>
  </si>
  <si>
    <t>978-5-386-12082-5</t>
  </si>
  <si>
    <t>9785386120825</t>
  </si>
  <si>
    <t>По ту сторону отражений: сборник рассказов. Кн. 2</t>
  </si>
  <si>
    <t xml:space="preserve">8939090             </t>
  </si>
  <si>
    <t>Сад зеркал. Лазаренко И.В., Самохин Д</t>
  </si>
  <si>
    <t>Лазаренко И.В., Самохин Д</t>
  </si>
  <si>
    <t>978-5-386-13335-1</t>
  </si>
  <si>
    <t>9785386133351</t>
  </si>
  <si>
    <t>Сад зеркал</t>
  </si>
  <si>
    <t xml:space="preserve">8872230             </t>
  </si>
  <si>
    <t>Три цвета отражений. Белаш Л., Белаш А., Гелприн М.</t>
  </si>
  <si>
    <t>Белаш Л., Белаш А., Гелприн М.</t>
  </si>
  <si>
    <t>978-5-386-13315-3</t>
  </si>
  <si>
    <t>9785386133153</t>
  </si>
  <si>
    <t>Три цвета отражений</t>
  </si>
  <si>
    <t xml:space="preserve">8435040             </t>
  </si>
  <si>
    <t>Золотая коллекция</t>
  </si>
  <si>
    <t>ЗК. Черчилль. Быть лидером. В 2 т (в коробе). Медведев Д.Л.</t>
  </si>
  <si>
    <t>60х88/16</t>
  </si>
  <si>
    <t>978-5-386-10102-2</t>
  </si>
  <si>
    <t>9785386101022</t>
  </si>
  <si>
    <t>ЗК. Черчилль. Быть лидером. В 2 т (в коробе)</t>
  </si>
  <si>
    <t>10735240</t>
  </si>
  <si>
    <t xml:space="preserve">УЦЕНКА ЗК. Кодекс руководителя. В 3 т.: Власть. Финансы. Бизнес. </t>
  </si>
  <si>
    <t>978-5-521-18161-2</t>
  </si>
  <si>
    <t>9785521181612</t>
  </si>
  <si>
    <t>УЦЕНКА ЗК. Кодекс руководителя. В 3 т.: Власть. Финансы. Бизнес</t>
  </si>
  <si>
    <t>Основы бизнеса</t>
  </si>
  <si>
    <t xml:space="preserve">9184340             </t>
  </si>
  <si>
    <t>Золотая коллекция детства</t>
  </si>
  <si>
    <t>978-5-386-13472-3</t>
  </si>
  <si>
    <t>9785386134723</t>
  </si>
  <si>
    <t xml:space="preserve">8738950             </t>
  </si>
  <si>
    <t>Золотое сечение</t>
  </si>
  <si>
    <t>Жизнеописания шести великих мастеров Возрождения. Вазари Дж.</t>
  </si>
  <si>
    <t>Вазари Дж.</t>
  </si>
  <si>
    <t>978-5-386-12033-7</t>
  </si>
  <si>
    <t>9785386120337</t>
  </si>
  <si>
    <t>Жизнеописания шести великих мастеров Возрождения</t>
  </si>
  <si>
    <t xml:space="preserve">10043470            </t>
  </si>
  <si>
    <t>Изучаю мир</t>
  </si>
  <si>
    <t>Фу!. Мазель Р.</t>
  </si>
  <si>
    <t>Мазель Р.</t>
  </si>
  <si>
    <t>978-5-386-14608-5</t>
  </si>
  <si>
    <t>9785386146085</t>
  </si>
  <si>
    <t>Фу!</t>
  </si>
  <si>
    <t>Обучающая и развивающая литература</t>
  </si>
  <si>
    <t>Знакомство с окружающим миром</t>
  </si>
  <si>
    <t xml:space="preserve">12071120            </t>
  </si>
  <si>
    <t>Инсомния</t>
  </si>
  <si>
    <t>Омут. Кровавое наследие Грайфов. Брайт К.</t>
  </si>
  <si>
    <t>Брайт К.</t>
  </si>
  <si>
    <t>978-5-386-15555-1</t>
  </si>
  <si>
    <t>9785386155551</t>
  </si>
  <si>
    <t>Омут. Кровавое наследие Грайфов</t>
  </si>
  <si>
    <t xml:space="preserve">12068360            </t>
  </si>
  <si>
    <t>Травяное гнездо. Полесная Н</t>
  </si>
  <si>
    <t>Полесная Н</t>
  </si>
  <si>
    <t>978-5-386-15534-6</t>
  </si>
  <si>
    <t>9785386155346</t>
  </si>
  <si>
    <t>Травяное гнездо</t>
  </si>
  <si>
    <t xml:space="preserve">8926020             </t>
  </si>
  <si>
    <t>Инспектор Логан Макрэй</t>
  </si>
  <si>
    <t>Ледяной дождь: роман. Макбрайд С.</t>
  </si>
  <si>
    <t>978-5-386-10804-5</t>
  </si>
  <si>
    <t>9785386108045</t>
  </si>
  <si>
    <t>Ледяной дождь: роман</t>
  </si>
  <si>
    <t xml:space="preserve">8859270             </t>
  </si>
  <si>
    <t>Интеллектуальный бестселлер</t>
  </si>
  <si>
    <t>КУНЦЕЛЬманн  кунцельМАНН. Вальгрен К.-Й</t>
  </si>
  <si>
    <t>Вальгрен К.-Й</t>
  </si>
  <si>
    <t>978-5-386-12330-7</t>
  </si>
  <si>
    <t>9785386123307</t>
  </si>
  <si>
    <t>КУНЦЕЛЬманн  кунцельМАНН</t>
  </si>
  <si>
    <t xml:space="preserve">8859280             </t>
  </si>
  <si>
    <t>Тень мальчика. Вальгрен К.-Й</t>
  </si>
  <si>
    <t>978-5-386-12331-4</t>
  </si>
  <si>
    <t>9785386123314</t>
  </si>
  <si>
    <t>Тень мальчика</t>
  </si>
  <si>
    <t xml:space="preserve">7452810             </t>
  </si>
  <si>
    <t>Черчилль. Биография. Оратор. Историк. Публицист. Амбициозное начало 1874-1929. Медведев Д.Л.</t>
  </si>
  <si>
    <t>978-5-386-08941-2</t>
  </si>
  <si>
    <t>9785386089412</t>
  </si>
  <si>
    <t>Черчилль. Биография. Оратор. Историк. Публицист. Амбициозное начало 1874-1929</t>
  </si>
  <si>
    <t xml:space="preserve">9730430             </t>
  </si>
  <si>
    <t>Ирада Берг - чтения со смыслом</t>
  </si>
  <si>
    <t>Contione - встреча. Берг И.</t>
  </si>
  <si>
    <t>978-5-386-14367-1</t>
  </si>
  <si>
    <t>9785386143671</t>
  </si>
  <si>
    <t>Contione - встреча</t>
  </si>
  <si>
    <t xml:space="preserve">10770000            </t>
  </si>
  <si>
    <t>Мечты сбываются. Берг И.</t>
  </si>
  <si>
    <t>978-5-386-14973-4</t>
  </si>
  <si>
    <t>9785386149734</t>
  </si>
  <si>
    <t>Мечты сбываются</t>
  </si>
  <si>
    <t xml:space="preserve">10858430            </t>
  </si>
  <si>
    <t>Петрикор. Берг И.</t>
  </si>
  <si>
    <t>978-5-386-15000-6</t>
  </si>
  <si>
    <t>9785386150006</t>
  </si>
  <si>
    <t>Петрикор</t>
  </si>
  <si>
    <t xml:space="preserve">9224260             </t>
  </si>
  <si>
    <t>Искусство жить красиво</t>
  </si>
  <si>
    <t>Искусство жить красиво. Антарес А.</t>
  </si>
  <si>
    <t>Антарес А.</t>
  </si>
  <si>
    <t>978-5-386-12746-6</t>
  </si>
  <si>
    <t>9785386127466</t>
  </si>
  <si>
    <t xml:space="preserve">8228590             </t>
  </si>
  <si>
    <t>Искусство и действительность</t>
  </si>
  <si>
    <t>Введение в эстетику. Лало Ш.</t>
  </si>
  <si>
    <t>Лало Ш.</t>
  </si>
  <si>
    <t>978-5-386-10233-3</t>
  </si>
  <si>
    <t>9785386102333</t>
  </si>
  <si>
    <t>Введение в эстетику</t>
  </si>
  <si>
    <t>8446720</t>
  </si>
  <si>
    <t>Письма об эстетическом воспитании человека. Шиллер Ф.</t>
  </si>
  <si>
    <t>Шиллер Ф.</t>
  </si>
  <si>
    <t>978-5-386-10464-1</t>
  </si>
  <si>
    <t>9785386104641</t>
  </si>
  <si>
    <t>Письма об эстетическом воспитании человека</t>
  </si>
  <si>
    <t>Эстетика</t>
  </si>
  <si>
    <t xml:space="preserve">9247450             </t>
  </si>
  <si>
    <t>Историческая библиотека</t>
  </si>
  <si>
    <t>Империя тюрков. История великой цивилизации. Рахманалиев Р.</t>
  </si>
  <si>
    <t>Рахманалиев Р.</t>
  </si>
  <si>
    <t>978-5-386-13511-9</t>
  </si>
  <si>
    <t>9785386135119</t>
  </si>
  <si>
    <t>Империя тюрков. История великой цивилизации</t>
  </si>
  <si>
    <t xml:space="preserve">11147440            </t>
  </si>
  <si>
    <t>Спецслужбы России за 1000 лет. 2-е изд., доп. Линдер И.Б., Чуркин С.А.</t>
  </si>
  <si>
    <t>Линдер И.Б., Чуркин С.А.</t>
  </si>
  <si>
    <t>978-5-386-14998-7</t>
  </si>
  <si>
    <t>9785386149987</t>
  </si>
  <si>
    <t>Спецслужбы России за 1000 лет. 2-е изд., доп</t>
  </si>
  <si>
    <t xml:space="preserve">9618300             </t>
  </si>
  <si>
    <t>Царство женщин. Валишевский К.</t>
  </si>
  <si>
    <t>Валишевский К.</t>
  </si>
  <si>
    <t>978-5-386-13997-1</t>
  </si>
  <si>
    <t>9785386139971</t>
  </si>
  <si>
    <t>Царство женщин</t>
  </si>
  <si>
    <t>Зарубежная историческая проза</t>
  </si>
  <si>
    <t xml:space="preserve">11664240            </t>
  </si>
  <si>
    <t>Исторический детектив</t>
  </si>
  <si>
    <t>Бюро темных дел 2. Призрак Викария. Фуасье Э.</t>
  </si>
  <si>
    <t>978-5-386-15412-7</t>
  </si>
  <si>
    <t>9785386154127</t>
  </si>
  <si>
    <t>Бюро темных дел 2. Призрак Викария</t>
  </si>
  <si>
    <t xml:space="preserve">11934630            </t>
  </si>
  <si>
    <t>Бюро темных дел 3. Ночи синего ужаса. Фуасье Э.</t>
  </si>
  <si>
    <t>978-5-386-15467-7</t>
  </si>
  <si>
    <t>9785386154677</t>
  </si>
  <si>
    <t>Бюро темных дел 3. Ночи синего ужаса</t>
  </si>
  <si>
    <t xml:space="preserve">11502880            </t>
  </si>
  <si>
    <t>Бюро темных дел. Фуасье Э.</t>
  </si>
  <si>
    <t>978-5-386-15155-3</t>
  </si>
  <si>
    <t>9785386151553</t>
  </si>
  <si>
    <t>Бюро темных дел</t>
  </si>
  <si>
    <t xml:space="preserve">11141950            </t>
  </si>
  <si>
    <t>История в стиле fine</t>
  </si>
  <si>
    <t>Во-первых, это красиво. Коротаева М.</t>
  </si>
  <si>
    <t>Коротаева М.</t>
  </si>
  <si>
    <t>978-5-386-15144-7</t>
  </si>
  <si>
    <t>9785386151447</t>
  </si>
  <si>
    <t>Во-первых, это красиво</t>
  </si>
  <si>
    <t xml:space="preserve">11101930            </t>
  </si>
  <si>
    <t>История в стиле fine. Шахназаров М.С.</t>
  </si>
  <si>
    <t>Шахназаров М.С.</t>
  </si>
  <si>
    <t>978-5-386-15123-2</t>
  </si>
  <si>
    <t>9785386151232</t>
  </si>
  <si>
    <t>11527500</t>
  </si>
  <si>
    <t>История в стиле fine; Тетерев мечты (комплект из 2-х книг). Шахназаров М.С.</t>
  </si>
  <si>
    <t>978-5-521-84025-0</t>
  </si>
  <si>
    <t>9785521840250</t>
  </si>
  <si>
    <t>История в стиле fine; Тетерев мечты (комплект из 2-х книг)</t>
  </si>
  <si>
    <t xml:space="preserve">11427530            </t>
  </si>
  <si>
    <t>Петроградка. Переверзев С.</t>
  </si>
  <si>
    <t>978-5-386-15243-7</t>
  </si>
  <si>
    <t>9785386152437</t>
  </si>
  <si>
    <t>Петроградка</t>
  </si>
  <si>
    <t xml:space="preserve">11491580            </t>
  </si>
  <si>
    <t>Тетерев мечты. Шахназаров М.С.</t>
  </si>
  <si>
    <t>978-5-386-15285-7</t>
  </si>
  <si>
    <t>9785386152857</t>
  </si>
  <si>
    <t>Тетерев мечты</t>
  </si>
  <si>
    <t xml:space="preserve">9757510             </t>
  </si>
  <si>
    <t>История успеха</t>
  </si>
  <si>
    <t>Журналистика с любовью. Курьянова Л.</t>
  </si>
  <si>
    <t>Курьянова Л.</t>
  </si>
  <si>
    <t>978-5-386-14348-0</t>
  </si>
  <si>
    <t>9785386143480</t>
  </si>
  <si>
    <t>Журналистика с любовью</t>
  </si>
  <si>
    <t>Книговедение. Средства массовой информации</t>
  </si>
  <si>
    <t>Журналистика. Радиовещание. Телевидение</t>
  </si>
  <si>
    <t>97904</t>
  </si>
  <si>
    <t>Карьероlogy-mini</t>
  </si>
  <si>
    <t>Все в мире - вопрос интерпретации. Кредо вашей жизни. Хералд Д</t>
  </si>
  <si>
    <t>Хералд Д</t>
  </si>
  <si>
    <t>60х70/16</t>
  </si>
  <si>
    <t>2006</t>
  </si>
  <si>
    <t>5-7905-4690-0</t>
  </si>
  <si>
    <t>9785790546907</t>
  </si>
  <si>
    <t xml:space="preserve">094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</si>
  <si>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Бизнес. Предпринимательство                                                                                                     </t>
  </si>
  <si>
    <t>Все в мире - вопрос интерпретации. Кредо вашей жизни</t>
  </si>
  <si>
    <t xml:space="preserve">11067760            </t>
  </si>
  <si>
    <t>Кибер-детектив</t>
  </si>
  <si>
    <t>Спаси ее. Форж С.</t>
  </si>
  <si>
    <t>978-5-386-14991-8</t>
  </si>
  <si>
    <t>9785386149918</t>
  </si>
  <si>
    <t>Спаси ее</t>
  </si>
  <si>
    <t xml:space="preserve">10165740            </t>
  </si>
  <si>
    <t>Кино. Театр. Музыка</t>
  </si>
  <si>
    <t>Юность на экране. Репрезентация молодых людей в кино и на телевидении. Бэкингем Д.</t>
  </si>
  <si>
    <t>Бэкингем Д.</t>
  </si>
  <si>
    <t>978-5-386-14635-1</t>
  </si>
  <si>
    <t>9785386146351</t>
  </si>
  <si>
    <t>Юность на экране. Репрезентация молодых людей в кино и на телевидении</t>
  </si>
  <si>
    <t>Кино. Мультипликация</t>
  </si>
  <si>
    <t xml:space="preserve">9139810             </t>
  </si>
  <si>
    <t>Кино_Театр</t>
  </si>
  <si>
    <t>Престижное удовольствие. Социально-философские интерпретации «сериального взрыва». Павлов А.В.</t>
  </si>
  <si>
    <t>Павлов А.В.</t>
  </si>
  <si>
    <t>978-5-386-12784-8</t>
  </si>
  <si>
    <t>9785386127848</t>
  </si>
  <si>
    <t>Престижное удовольствие. Социально-философские интерпретации «сериального взрыва»</t>
  </si>
  <si>
    <t>Культура. Культурология</t>
  </si>
  <si>
    <t>Культурология</t>
  </si>
  <si>
    <t xml:space="preserve">11148920            </t>
  </si>
  <si>
    <t>Кинороман</t>
  </si>
  <si>
    <t>Мятежники. Алеников В.М.</t>
  </si>
  <si>
    <t>978-5-386-15116-4</t>
  </si>
  <si>
    <t>9785386151164</t>
  </si>
  <si>
    <t>Мятежники</t>
  </si>
  <si>
    <t>Кинороманы. Новеллизация</t>
  </si>
  <si>
    <t>Отечественные фильмы, игры</t>
  </si>
  <si>
    <t xml:space="preserve">11230090            </t>
  </si>
  <si>
    <t>На веки вечные. Роман-хроника времен Нюрнбергского процесса. Звягинцев А.Г.</t>
  </si>
  <si>
    <t>978-5-386-15177-5</t>
  </si>
  <si>
    <t>9785386151775</t>
  </si>
  <si>
    <t>На веки вечные. Роман-хроника времен Нюрнбергского процесса</t>
  </si>
  <si>
    <t xml:space="preserve">11081870            </t>
  </si>
  <si>
    <t>Пищеблок 2. Пронина А.</t>
  </si>
  <si>
    <t>Пронина А.</t>
  </si>
  <si>
    <t>978-5-386-15102-7</t>
  </si>
  <si>
    <t>9785386151027</t>
  </si>
  <si>
    <t>Пищеблок 2</t>
  </si>
  <si>
    <t xml:space="preserve">11080320            </t>
  </si>
  <si>
    <t>Пищеблок. Иванов А.В.</t>
  </si>
  <si>
    <t>978-5-386-15099-0</t>
  </si>
  <si>
    <t>9785386150990</t>
  </si>
  <si>
    <t>Пищеблок</t>
  </si>
  <si>
    <t xml:space="preserve">11327050            </t>
  </si>
  <si>
    <t>Четыре четверти. Взрослая хроника школьной любви. Юк А.</t>
  </si>
  <si>
    <t>Юк А.</t>
  </si>
  <si>
    <t>978-5-386-15175-1</t>
  </si>
  <si>
    <t>9785386151751</t>
  </si>
  <si>
    <t>Четыре четверти. Взрослая хроника школьной любви</t>
  </si>
  <si>
    <t xml:space="preserve">11290250            </t>
  </si>
  <si>
    <t>Киносказки</t>
  </si>
  <si>
    <t>Время легенд. Кн. 2: Тайна Черного Книжника. Чунаев С., Верещагин А.</t>
  </si>
  <si>
    <t>Чунаев С., Верещагин А.</t>
  </si>
  <si>
    <t>978-5-386-15156-0</t>
  </si>
  <si>
    <t>9785386151560</t>
  </si>
  <si>
    <t>Время легенд. Кн. 2: Тайна Черного Книжника</t>
  </si>
  <si>
    <t xml:space="preserve">9801240             </t>
  </si>
  <si>
    <t>Кладезь знаний</t>
  </si>
  <si>
    <t>Как решать кроссворды. Более 60 000 слов и толкований. Комарова И.И.</t>
  </si>
  <si>
    <t>Комарова И.И.</t>
  </si>
  <si>
    <t>978-5-386-14411-1</t>
  </si>
  <si>
    <t>9785386144111</t>
  </si>
  <si>
    <t>Как решать кроссворды. Более 60 000 слов и толкований</t>
  </si>
  <si>
    <t>Хобби. Отдых. Праздники</t>
  </si>
  <si>
    <t>Игры. Развлечения</t>
  </si>
  <si>
    <t xml:space="preserve">11066360            </t>
  </si>
  <si>
    <t>Классика жанра</t>
  </si>
  <si>
    <t>Безбилетный пассажир. Данелия Г.Н.</t>
  </si>
  <si>
    <t>Данелия Г.Н.</t>
  </si>
  <si>
    <t>978-5-386-15075-4</t>
  </si>
  <si>
    <t>9785386150754</t>
  </si>
  <si>
    <t>Безбилетный пассажир</t>
  </si>
  <si>
    <t xml:space="preserve">8235900             </t>
  </si>
  <si>
    <t>Из бездны. Вальгрен К.-Й</t>
  </si>
  <si>
    <t>978-5-386-09914-5</t>
  </si>
  <si>
    <t>9785386099145</t>
  </si>
  <si>
    <t>Из бездны</t>
  </si>
  <si>
    <t xml:space="preserve">11066370            </t>
  </si>
  <si>
    <t>Кот ушел, а улыбка осталась. Данелия Г.Н.</t>
  </si>
  <si>
    <t>978-5-386-15077-8</t>
  </si>
  <si>
    <t>9785386150778</t>
  </si>
  <si>
    <t>Кот ушел, а улыбка осталась</t>
  </si>
  <si>
    <t xml:space="preserve">11641980            </t>
  </si>
  <si>
    <t>Кошмар на цыпочках. Данелия Г.Н.</t>
  </si>
  <si>
    <t>978-5-386-15402-8</t>
  </si>
  <si>
    <t>9785386154028</t>
  </si>
  <si>
    <t>Кошмар на цыпочках</t>
  </si>
  <si>
    <t xml:space="preserve">11650520            </t>
  </si>
  <si>
    <t>На Большом Каретном. Высоцкий В.С.</t>
  </si>
  <si>
    <t>Высоцкий В.С.</t>
  </si>
  <si>
    <t>978-5-386-15320-5</t>
  </si>
  <si>
    <t>9785386153205</t>
  </si>
  <si>
    <t>На Большом Каретном</t>
  </si>
  <si>
    <t xml:space="preserve">11066380            </t>
  </si>
  <si>
    <t>Тостуемый пьет до дна. Данелия Г.Н.</t>
  </si>
  <si>
    <t>978-5-386-15076-1</t>
  </si>
  <si>
    <t>9785386150761</t>
  </si>
  <si>
    <t>Тостуемый пьет до дна</t>
  </si>
  <si>
    <t>316767</t>
  </si>
  <si>
    <t>Книги Дж.Грина</t>
  </si>
  <si>
    <t>Многочисленные Катерины. Грин Дж.</t>
  </si>
  <si>
    <t>Грин Дж.</t>
  </si>
  <si>
    <t>2016</t>
  </si>
  <si>
    <t>978-5-386-08058-7</t>
  </si>
  <si>
    <t>9785386080587</t>
  </si>
  <si>
    <t>Многочисленные Катерины</t>
  </si>
  <si>
    <t xml:space="preserve">10239750            </t>
  </si>
  <si>
    <t>Книги из детства</t>
  </si>
  <si>
    <t>Приключения Петрова и Васечкина. Алеников В.М.</t>
  </si>
  <si>
    <t>978-5-386-14657-3</t>
  </si>
  <si>
    <t>9785386146573</t>
  </si>
  <si>
    <t>Приключения Петрова и Васечкина</t>
  </si>
  <si>
    <t xml:space="preserve">9514810             </t>
  </si>
  <si>
    <t>Книжный клуб Риз Уизерспун</t>
  </si>
  <si>
    <t>978-5-386-13769-4</t>
  </si>
  <si>
    <t>9785386137694</t>
  </si>
  <si>
    <t xml:space="preserve">8558720             </t>
  </si>
  <si>
    <t>Кнут и пряник</t>
  </si>
  <si>
    <t>978-5-386-10701-7</t>
  </si>
  <si>
    <t>9785386107017</t>
  </si>
  <si>
    <t xml:space="preserve">9801180             </t>
  </si>
  <si>
    <t>Воспоминания о будущем. Хазин М.Л.</t>
  </si>
  <si>
    <t>978-5-386-14462-3</t>
  </si>
  <si>
    <t>9785386144623</t>
  </si>
  <si>
    <t>Воспоминания о будущем</t>
  </si>
  <si>
    <t xml:space="preserve">8943040             </t>
  </si>
  <si>
    <t>Левиафан. Гоббс Т.</t>
  </si>
  <si>
    <t>Гоббс Т.</t>
  </si>
  <si>
    <t>978-5-386-13354-2</t>
  </si>
  <si>
    <t>9785386133542</t>
  </si>
  <si>
    <t>Левиафан</t>
  </si>
  <si>
    <t xml:space="preserve">9258140             </t>
  </si>
  <si>
    <t>Кнут и пряник new</t>
  </si>
  <si>
    <t>978-5-386-13543-0</t>
  </si>
  <si>
    <t>9785386135430</t>
  </si>
  <si>
    <t xml:space="preserve">9258180             </t>
  </si>
  <si>
    <t>978-5-386-13544-7</t>
  </si>
  <si>
    <t>9785386135447</t>
  </si>
  <si>
    <t xml:space="preserve">9258090             </t>
  </si>
  <si>
    <t>978-5-386-13551-5</t>
  </si>
  <si>
    <t>9785386135515</t>
  </si>
  <si>
    <t xml:space="preserve">8016770             </t>
  </si>
  <si>
    <t>Кодекс чести</t>
  </si>
  <si>
    <t xml:space="preserve">Кодекс чести русского офицера. </t>
  </si>
  <si>
    <t>978-5-386-09875-9</t>
  </si>
  <si>
    <t>9785386098759</t>
  </si>
  <si>
    <t>Кодекс чести русского офицера</t>
  </si>
  <si>
    <t xml:space="preserve">11258310            </t>
  </si>
  <si>
    <t>Коллекция "Метаморфозы"</t>
  </si>
  <si>
    <t>Анна Каренина. В 2 т. Ч. 1-8. Толстой Л.Н.</t>
  </si>
  <si>
    <t>Толстой Л.Н.</t>
  </si>
  <si>
    <t>978-5-386-15185-0</t>
  </si>
  <si>
    <t>9785386151850</t>
  </si>
  <si>
    <t>Анна Каренина. В 2 т. Ч. 1-8</t>
  </si>
  <si>
    <t xml:space="preserve">10806940            </t>
  </si>
  <si>
    <t>Вий и другие повести из цикла "Миргород". Гоголь Н.В.</t>
  </si>
  <si>
    <t>978-5-386-14963-5</t>
  </si>
  <si>
    <t>9785386149635</t>
  </si>
  <si>
    <t>Вий и другие повести из цикла "Миргород"</t>
  </si>
  <si>
    <t xml:space="preserve">9536820             </t>
  </si>
  <si>
    <t>Вишенка и Клюква. Лакомб Б.</t>
  </si>
  <si>
    <t>Лакомб Б.</t>
  </si>
  <si>
    <t>70х100/8</t>
  </si>
  <si>
    <t>978-5-386-13821-9</t>
  </si>
  <si>
    <t>9785386138219</t>
  </si>
  <si>
    <t>Вишенка и Клюква</t>
  </si>
  <si>
    <t xml:space="preserve">11506300            </t>
  </si>
  <si>
    <t>Двенадцать стульев. Ильф И.А., Петров Е.П</t>
  </si>
  <si>
    <t>Ильф И.А., Петров Е.П</t>
  </si>
  <si>
    <t>978-5-386-15173-7</t>
  </si>
  <si>
    <t>9785386151737</t>
  </si>
  <si>
    <t>Двенадцать стульев</t>
  </si>
  <si>
    <t xml:space="preserve">10541480            </t>
  </si>
  <si>
    <t>Записки охотника. Тургенев И.С.</t>
  </si>
  <si>
    <t>Тургенев И.С.</t>
  </si>
  <si>
    <t>978-5-386-14884-3</t>
  </si>
  <si>
    <t>9785386148843</t>
  </si>
  <si>
    <t>Записки охотника</t>
  </si>
  <si>
    <t xml:space="preserve">11506370            </t>
  </si>
  <si>
    <t>Золотой теленок. Ильф И.А., Петров Е.П</t>
  </si>
  <si>
    <t>978-5-386-15172-0</t>
  </si>
  <si>
    <t>9785386151720</t>
  </si>
  <si>
    <t>Золотой теленок</t>
  </si>
  <si>
    <t xml:space="preserve">9537140             </t>
  </si>
  <si>
    <t>Молчаливое дитя. Румигьер С.</t>
  </si>
  <si>
    <t>Румигьер С.</t>
  </si>
  <si>
    <t>84х90/16</t>
  </si>
  <si>
    <t>978-5-386-13822-6</t>
  </si>
  <si>
    <t>9785386138226</t>
  </si>
  <si>
    <t>Молчаливое дитя</t>
  </si>
  <si>
    <t xml:space="preserve">11937120            </t>
  </si>
  <si>
    <t>Пасхальное чудо. Истории и рассказы русских писателей в старинных открытках. Сост. Буткова О.</t>
  </si>
  <si>
    <t>Сост. Буткова О.</t>
  </si>
  <si>
    <t>978-5-386-15390-8</t>
  </si>
  <si>
    <t>9785386153908</t>
  </si>
  <si>
    <t>Пасхальное чудо. Истории и рассказы русских писателей в старинных открытках</t>
  </si>
  <si>
    <t xml:space="preserve">11260900            </t>
  </si>
  <si>
    <t>Портрет Дориана Грея. Уайльд О.</t>
  </si>
  <si>
    <t>Уайльд О.</t>
  </si>
  <si>
    <t>978-5-386-15178-2</t>
  </si>
  <si>
    <t>9785386151782</t>
  </si>
  <si>
    <t>Портрет Дориана Грея</t>
  </si>
  <si>
    <t xml:space="preserve">11267820            </t>
  </si>
  <si>
    <t>Портрет. Петербургские повести. Гоголь Н.В.</t>
  </si>
  <si>
    <t>978-5-386-15179-9</t>
  </si>
  <si>
    <t>9785386151799</t>
  </si>
  <si>
    <t>Портрет. Петербургские повести</t>
  </si>
  <si>
    <t xml:space="preserve">10814090            </t>
  </si>
  <si>
    <t>Пять сказок о любви. Андерсен Г.Х.</t>
  </si>
  <si>
    <t>Андерсен Г.Х.</t>
  </si>
  <si>
    <t>978-5-386-14974-1</t>
  </si>
  <si>
    <t>9785386149741</t>
  </si>
  <si>
    <t>Пять сказок о любви</t>
  </si>
  <si>
    <t xml:space="preserve">11897860            </t>
  </si>
  <si>
    <t>Собачье сердце. Роковые яйца. Булгаков М.А.</t>
  </si>
  <si>
    <t>Булгаков М.А.</t>
  </si>
  <si>
    <t>978-5-386-15478-3</t>
  </si>
  <si>
    <t>9785386154783</t>
  </si>
  <si>
    <t>Собачье сердце. Роковые яйца</t>
  </si>
  <si>
    <t>10276410</t>
  </si>
  <si>
    <t>Страшные рассказы (комплект из 2-х книг). По Э.А.</t>
  </si>
  <si>
    <t>978-5-386-14687-0</t>
  </si>
  <si>
    <t>9785386146870</t>
  </si>
  <si>
    <t>Страшные рассказы (комплект из 2-х книг)</t>
  </si>
  <si>
    <t xml:space="preserve">9626420             </t>
  </si>
  <si>
    <t>60х88/8</t>
  </si>
  <si>
    <t>978-5-386-13800-4</t>
  </si>
  <si>
    <t>9785386138004</t>
  </si>
  <si>
    <t xml:space="preserve">10013020            </t>
  </si>
  <si>
    <t>Страшные рассказы. Т. 2. По Э.А.</t>
  </si>
  <si>
    <t>60х84/8</t>
  </si>
  <si>
    <t>978-5-386-14491-3</t>
  </si>
  <si>
    <t>9785386144913</t>
  </si>
  <si>
    <t>Страшные рассказы. Т. 2</t>
  </si>
  <si>
    <t xml:space="preserve">11038430            </t>
  </si>
  <si>
    <t>Тень над Иннсмутом. Лавкрафт Г.Ф.</t>
  </si>
  <si>
    <t>978-5-386-15022-8</t>
  </si>
  <si>
    <t>9785386150228</t>
  </si>
  <si>
    <t>Тень над Иннсмутом</t>
  </si>
  <si>
    <t xml:space="preserve">9531640             </t>
  </si>
  <si>
    <t>Торнхилл: графический роман. Смай П.</t>
  </si>
  <si>
    <t>Смай П.</t>
  </si>
  <si>
    <t>978-5-386-12375-8</t>
  </si>
  <si>
    <t>9785386123758</t>
  </si>
  <si>
    <t>Торнхилл: графический роман</t>
  </si>
  <si>
    <t xml:space="preserve">11865940            </t>
  </si>
  <si>
    <t>Чудо Рождества: святочные рассказы русских писателей. Чехов А.П., Лесков Н.С., Чарская Л.А.</t>
  </si>
  <si>
    <t>Чехов А.П., Лесков Н.С., Чарская Л.А.</t>
  </si>
  <si>
    <t>978-5-386-15494-3</t>
  </si>
  <si>
    <t>9785386154943</t>
  </si>
  <si>
    <t>Чудо Рождества: святочные рассказы русских писателей</t>
  </si>
  <si>
    <t>11451050</t>
  </si>
  <si>
    <t>Комплекты</t>
  </si>
  <si>
    <t xml:space="preserve">24 закона обольщения для достижения власти; 33 стратегии войны; 48 законов власти (комплект из 3-х книг). Грин Р.                                           </t>
  </si>
  <si>
    <t>978-5-521-83161-6</t>
  </si>
  <si>
    <t>9785521831616</t>
  </si>
  <si>
    <t>24 закона обольщения для достижения власти; 33 стратегии войны; 48 законов власти (комплект из 3-х книг)</t>
  </si>
  <si>
    <t>11451040</t>
  </si>
  <si>
    <t>33 стратегии войны; 48 законов власти (комплект из 2-х книг). Грин Р.</t>
  </si>
  <si>
    <t>978-5-521-83137-1</t>
  </si>
  <si>
    <t>9785521831371</t>
  </si>
  <si>
    <t>33 стратегии войны; 48 законов власти (комплект из 2-х книг)</t>
  </si>
  <si>
    <t>11451840</t>
  </si>
  <si>
    <t>33 стратегии войны; KARMACOACH (комплект из 2-х книг). Грин Р., Ситников А.П.</t>
  </si>
  <si>
    <t>Грин Р., Ситников А.П.</t>
  </si>
  <si>
    <t>978-5-521-83556-0</t>
  </si>
  <si>
    <t>9785521835560</t>
  </si>
  <si>
    <t>33 стратегии войны; KARMACOACH (комплект из 2-х книг)</t>
  </si>
  <si>
    <t>11175100</t>
  </si>
  <si>
    <t>48 законов власти и 33 стратегии войны (в pocket&amp;travel комплект из 2-х книг). Грин Р.</t>
  </si>
  <si>
    <t>978-5-521-82051-1</t>
  </si>
  <si>
    <t>9785521820511</t>
  </si>
  <si>
    <t>48 законов власти и 33 стратегии войны (в pocket&amp;travel комплект из 2-х книг)</t>
  </si>
  <si>
    <t>11514090</t>
  </si>
  <si>
    <t>48 законов власти; 24 закона обольщения (комплект из 2-х книг). Грин Р.</t>
  </si>
  <si>
    <t>978-5-521-83751-9</t>
  </si>
  <si>
    <t>9785521837519</t>
  </si>
  <si>
    <t>48 законов власти; 24 закона обольщения (комплект из 2-х книг)</t>
  </si>
  <si>
    <t>11514110</t>
  </si>
  <si>
    <t>48 законов власти; 24 закона обольщения; 33 стратегии войны (комплект из 3-х книг). Грин Р.</t>
  </si>
  <si>
    <t>978-5-521-83986-5</t>
  </si>
  <si>
    <t>9785521839865</t>
  </si>
  <si>
    <t>48 законов власти; 24 закона обольщения; 33 стратегии войны (комплект из 3-х книг)</t>
  </si>
  <si>
    <t>11514100</t>
  </si>
  <si>
    <t>48 законов власти; 33 стратегии войны (комплект из 2-х книг). Грин Р.</t>
  </si>
  <si>
    <t>978-5-521-83842-4</t>
  </si>
  <si>
    <t>9785521838424</t>
  </si>
  <si>
    <t>48 законов власти; 33 стратегии войны (комплект из 2-х книг)</t>
  </si>
  <si>
    <t>11175770</t>
  </si>
  <si>
    <t>48 законов власти; 33 стратегии войны; 24 закона обольщения (комплект из 3-х книг). Грин Р.</t>
  </si>
  <si>
    <t>978-5-521-82056-6</t>
  </si>
  <si>
    <t>9785521820566</t>
  </si>
  <si>
    <t>48 законов власти; 33 стратегии войны; 24 закона обольщения (комплект из 3-х книг)</t>
  </si>
  <si>
    <t>11451660</t>
  </si>
  <si>
    <t>48 законов власти; Кризис и Власть: Т. 1: Лестница в небо; Т. 2: Люди Власти ( комплект из 3-х книг). Грин Р., Хазин М.Л., Щеглов С.И.</t>
  </si>
  <si>
    <t>Грин Р., Хазин М.Л., Щеглов С.И.</t>
  </si>
  <si>
    <t>978-5-521-83836-3</t>
  </si>
  <si>
    <t>9785521838363</t>
  </si>
  <si>
    <t>48 законов власти; Кризис и Власть: Т. 1: Лестница в небо; Т. 2: Люди Власти ( комплект из 3-х книг)</t>
  </si>
  <si>
    <t>11451850</t>
  </si>
  <si>
    <t>KARMALOGIC + вкладыш; 48 законов власти (комплект из 2-х книг). Грин Р., Ситников А.П.</t>
  </si>
  <si>
    <t>978-5-521-83561-4</t>
  </si>
  <si>
    <t>9785521835614</t>
  </si>
  <si>
    <t>KARMALOGIC + вкладыш; 48 законов власти (комплект из 2-х книг)</t>
  </si>
  <si>
    <t>11524160</t>
  </si>
  <si>
    <t>KARMALOGIC. Краткая версия (обл.); KARMAMAGIC. Краткая версия (обл.) (комплект). Ситников А.П.</t>
  </si>
  <si>
    <t>Ситников А.П.</t>
  </si>
  <si>
    <t>978-5-521-83731-1</t>
  </si>
  <si>
    <t>9785521837311</t>
  </si>
  <si>
    <t>KARMALOGIC. Краткая версия (обл.); KARMAMAGIC. Краткая версия (обл.) (комплект)</t>
  </si>
  <si>
    <t>10411700</t>
  </si>
  <si>
    <t>Антология ужаса. Вып. 1 (комплект из 3-х книг). По Э.А., Эльснер А.О., Арсдейл П. Ван</t>
  </si>
  <si>
    <t>По Э.А., Эльснер А.О., Арсдейл П. Ван</t>
  </si>
  <si>
    <t>978-5-521-16975-7</t>
  </si>
  <si>
    <t>9785521169757</t>
  </si>
  <si>
    <t>Антология ужаса. Вып. 1 (комплект из 3-х книг)</t>
  </si>
  <si>
    <t>10411710</t>
  </si>
  <si>
    <t>Антология ужаса. Вып. 2 (комплект из 3-х книг). Стокер Б., Соловьев В.С., Марш Р.</t>
  </si>
  <si>
    <t>Стокер Б., Соловьев В.С., Марш Р.</t>
  </si>
  <si>
    <t>978-5-521-16976-4</t>
  </si>
  <si>
    <t>9785521169764</t>
  </si>
  <si>
    <t>Антология ужаса. Вып. 2 (комплект из 3-х книг)</t>
  </si>
  <si>
    <t>10413140</t>
  </si>
  <si>
    <t>Антология фантастики. Лучшее. Вып. 1 (комплект из 3-х книг). Моррис У., Стэплдон О</t>
  </si>
  <si>
    <t>Моррис У., Стэплдон О</t>
  </si>
  <si>
    <t>978-5-521-16986-3</t>
  </si>
  <si>
    <t>9785521169863</t>
  </si>
  <si>
    <t>Антология фантастики. Лучшее. Вып. 1 (комплект из 3-х книг)</t>
  </si>
  <si>
    <t>11498410</t>
  </si>
  <si>
    <t>Брак моей мечты; Жить как дышать; Мы и наши дети; Как воспитать успешного ребенка; Как построить счастливый брак (комплект из 5-ти книг). Блаво Р.</t>
  </si>
  <si>
    <t>Блаво Р.</t>
  </si>
  <si>
    <t>978-5-521-83728-1</t>
  </si>
  <si>
    <t>9785521837281</t>
  </si>
  <si>
    <t>Брак моей мечты; Жить как дышать; Мы и наши дети; Как воспитать успешного ребенка; Как построить счастливый брак (комплект из 5-ти книг)</t>
  </si>
  <si>
    <t>11498550</t>
  </si>
  <si>
    <t>Воспоминания о будущем; Лестница в небо; Черный лебедь мирового кризиса (комплект из 3-х книг). Хазин М.Л., Щеглов С.И.</t>
  </si>
  <si>
    <t>978-5-521-83835-6</t>
  </si>
  <si>
    <t>9785521838356</t>
  </si>
  <si>
    <t>Воспоминания о будущем; Лестница в небо; Черный лебедь мирового кризиса (комплект из 3-х книг)</t>
  </si>
  <si>
    <t>10411720</t>
  </si>
  <si>
    <t>Все про любовь. Вып. 1 (комплект из 3-х книг). Вассму Х., Уикс С., Кунер Д.</t>
  </si>
  <si>
    <t>Вассму Х., Уикс С., Кунер Д.</t>
  </si>
  <si>
    <t>978-5-521-16977-1</t>
  </si>
  <si>
    <t>9785521169771</t>
  </si>
  <si>
    <t>Все про любовь. Вып. 1 (комплект из 3-х книг)</t>
  </si>
  <si>
    <t>11498510</t>
  </si>
  <si>
    <t>Город женщин; Есть, молиться, любить; Самая лучшая жена (комплект из 3-х книг). Гилберт Э.</t>
  </si>
  <si>
    <t>978-5-521-83998-8</t>
  </si>
  <si>
    <t>9785521839988</t>
  </si>
  <si>
    <t>Город женщин; Есть, молиться, любить; Самая лучшая жена (комплект из 3-х книг)</t>
  </si>
  <si>
    <t>11577850</t>
  </si>
  <si>
    <t>Двенадцать стульев  и  Золотой теленок (комплект из 2-х книг). Ильф И.А., Петров Е.П</t>
  </si>
  <si>
    <t>978-5-386-15358-8</t>
  </si>
  <si>
    <t>9785386153588</t>
  </si>
  <si>
    <t>Двенадцать стульев  и  Золотой теленок (комплект из 2-х книг)</t>
  </si>
  <si>
    <t>9745000</t>
  </si>
  <si>
    <t>Жизнь великих в биографиях (комплект из 3-х книг). Анненская А.Н., Орлов Е.Н., Брилиант С.М.</t>
  </si>
  <si>
    <t>Анненская А.Н., Орлов Е.Н., Брилиант С.М.</t>
  </si>
  <si>
    <t>978-5-386-14397-8</t>
  </si>
  <si>
    <t>9785386143978</t>
  </si>
  <si>
    <t>Жизнь великих в биографиях (комплект из 3-х книг)</t>
  </si>
  <si>
    <t>9796660</t>
  </si>
  <si>
    <t>978-5-386-14474-6</t>
  </si>
  <si>
    <t>9785386144746</t>
  </si>
  <si>
    <t>9744980</t>
  </si>
  <si>
    <t>Жизнь великих. Гении мысли  (комплект из 3-х книг). Ранцов В.Л., Брилиант С.М., Сементковский Р.И.</t>
  </si>
  <si>
    <t>Ранцов В.Л., Брилиант С.М., Сементковский Р.И.</t>
  </si>
  <si>
    <t>978-5-386-14393-0</t>
  </si>
  <si>
    <t>9785386143930</t>
  </si>
  <si>
    <t>Жизнь великих. Гении мысли  (комплект из 3-х книг)</t>
  </si>
  <si>
    <t>9796630</t>
  </si>
  <si>
    <t>Жизнь великих. Гении мысли (комплект из 3-х книг). Ранцов В.Л., Брилиант С.М., Сементковский Р.И.</t>
  </si>
  <si>
    <t>978-5-386-14473-9</t>
  </si>
  <si>
    <t>9785386144739</t>
  </si>
  <si>
    <t>Жизнь великих. Гении мысли (комплект из 3-х книг)</t>
  </si>
  <si>
    <t>9744970</t>
  </si>
  <si>
    <t>Жизнь великих. Гении эпохи (комплект из 3-х книг). Анненская А.Н., Александров Н.Н.</t>
  </si>
  <si>
    <t>978-5-386-14392-3</t>
  </si>
  <si>
    <t>9785386143923</t>
  </si>
  <si>
    <t>Жизнь великих. Гении эпохи (комплект из 3-х книг)</t>
  </si>
  <si>
    <t>9745010</t>
  </si>
  <si>
    <t>Жизнь великих. Политики и бунтари (комплект из 3-х книг). Цомакион А.И., Ранцов В.Л., Сементковский Р.И.</t>
  </si>
  <si>
    <t>Цомакион А.И., Ранцов В.Л., Сементковский Р.И.</t>
  </si>
  <si>
    <t>978-5-386-14396-1</t>
  </si>
  <si>
    <t>9785386143961</t>
  </si>
  <si>
    <t>Жизнь великих. Политики и бунтари (комплект из 3-х книг)</t>
  </si>
  <si>
    <t>9796790</t>
  </si>
  <si>
    <t>978-5-386-14475-3</t>
  </si>
  <si>
    <t>9785386144753</t>
  </si>
  <si>
    <t>9744960</t>
  </si>
  <si>
    <t>Жизнь великих. Полководцы и госдеятели (комплект в 3-х книгах). Орлов Е.Н., Огарков В.В., Сементковский Р.И.</t>
  </si>
  <si>
    <t>Орлов Е.Н., Огарков В.В., Сементковский Р.И.</t>
  </si>
  <si>
    <t>978-5-386-14391-6</t>
  </si>
  <si>
    <t>9785386143916</t>
  </si>
  <si>
    <t>Жизнь великих. Полководцы и госдеятели (комплект в 3-х книгах)</t>
  </si>
  <si>
    <t>9796610</t>
  </si>
  <si>
    <t>Жизнь великих. Полководцы и государственные деятели (комплект из 3-х книг). Орлов Е.Н., Огарков В.В., Сементковский Р.И.</t>
  </si>
  <si>
    <t>978-5-386-14471-5</t>
  </si>
  <si>
    <t>9785386144715</t>
  </si>
  <si>
    <t>Жизнь великих. Полководцы и государственные деятели (комплект из 3-х книг)</t>
  </si>
  <si>
    <t>10440790</t>
  </si>
  <si>
    <t>Жить здорово. Вып. 2 (комплект из 3-х книг). Симэ М., Федоров С.И., Эрел Дж.</t>
  </si>
  <si>
    <t>Симэ М., Федоров С.И., Эрел Дж.</t>
  </si>
  <si>
    <t>978-5-521-17019-7</t>
  </si>
  <si>
    <t>9785521170197</t>
  </si>
  <si>
    <t>Жить здорово. Вып. 2 (комплект из 3-х книг)</t>
  </si>
  <si>
    <t>10440360</t>
  </si>
  <si>
    <t>И снова про любовь. Вып. 2 (комплект из 3-х книг). Каковкин Г.В.</t>
  </si>
  <si>
    <t>Каковкин Г.В.</t>
  </si>
  <si>
    <t>978-5-521-17010-4</t>
  </si>
  <si>
    <t>9785521170104</t>
  </si>
  <si>
    <t>И снова про любовь. Вып. 2 (комплект из 3-х книг)</t>
  </si>
  <si>
    <t>10440770</t>
  </si>
  <si>
    <t>И снова про любовь. Вып. 3 (комплект из 3-х книг). Харди Т., Вассму Х., Габас Л</t>
  </si>
  <si>
    <t>Харди Т., Вассму Х., Габас Л</t>
  </si>
  <si>
    <t>978-5-521-17017-3</t>
  </si>
  <si>
    <t>9785521170173</t>
  </si>
  <si>
    <t>И снова про любовь. Вып. 3 (комплект из 3-х книг)</t>
  </si>
  <si>
    <t>10440390</t>
  </si>
  <si>
    <t>Исторический бестселлер. Вып. 1 (комплект из 2-х книг). Рейсс Т., Мур Р</t>
  </si>
  <si>
    <t>Рейсс Т., Мур Р</t>
  </si>
  <si>
    <t>978-5-521-17013-5</t>
  </si>
  <si>
    <t>9785521170135</t>
  </si>
  <si>
    <t>Исторический бестселлер. Вып. 1 (комплект из 2-х книг)</t>
  </si>
  <si>
    <t>10440380</t>
  </si>
  <si>
    <t>Исторический бестселлер. Вып. 2 (комплект из 3-х книг). Рейсс Т., Мур Р., Эйнхорн Е</t>
  </si>
  <si>
    <t>Рейсс Т., Мур Р., Эйнхорн Е</t>
  </si>
  <si>
    <t>978-5-521-17012-8</t>
  </si>
  <si>
    <t>9785521170128</t>
  </si>
  <si>
    <t>Исторический бестселлер. Вып. 2 (комплект из 3-х книг)</t>
  </si>
  <si>
    <t>11498480</t>
  </si>
  <si>
    <t>Как читать людей;  Лестница в небо (комплект из 2-х книг). Хазин М.Л., Щеглов С.И., Мессинжер Ж.</t>
  </si>
  <si>
    <t>Хазин М.Л., Щеглов С.И., Мессинжер Ж.</t>
  </si>
  <si>
    <t>978-5-521-83538-6</t>
  </si>
  <si>
    <t>9785521835386</t>
  </si>
  <si>
    <t>Как читать людей;  Лестница в небо (комплект из 2-х книг)</t>
  </si>
  <si>
    <t>11498430</t>
  </si>
  <si>
    <t>Когда дружба провожала меня домой; Храбрая Беатрис и проклятье дрожунов; 101 далматинец; Головоломка; Аттика. (комплект из 5-ти книг). Килворт Г.Д, Смит Д., Гриффин П., Моклер С.</t>
  </si>
  <si>
    <t>Килворт Г.Д, Смит Д., Гриффин П., Моклер С.</t>
  </si>
  <si>
    <t>978-5-521-83946-9</t>
  </si>
  <si>
    <t>9785521839469</t>
  </si>
  <si>
    <t>Когда дружба провожала меня домой; Храбрая Беатрис и проклятье дрожунов; 101 далматинец; Головоломка; Аттика. (комплект из 5-ти книг)</t>
  </si>
  <si>
    <t>10440780</t>
  </si>
  <si>
    <t>Коллекция ужасов. Вып. 1 (комплект из 3-х книг). По Э.А., Соловьев В.С., Арсдейл П. Ван</t>
  </si>
  <si>
    <t>По Э.А., Соловьев В.С., Арсдейл П. Ван</t>
  </si>
  <si>
    <t>978-5-521-17018-0</t>
  </si>
  <si>
    <t>9785521170180</t>
  </si>
  <si>
    <t>Коллекция ужасов. Вып. 1 (комплект из 3-х книг)</t>
  </si>
  <si>
    <t xml:space="preserve">10832800            </t>
  </si>
  <si>
    <t>Кризис и Власть. Том I и Том II (комплект из 2-х книг). Хазин М.Л., Щеглов С.И.</t>
  </si>
  <si>
    <t>978-5-386-14996-3</t>
  </si>
  <si>
    <t>9785386149963</t>
  </si>
  <si>
    <t>Кризис и Власть. Том I и Том II (комплект из 2-х книг)</t>
  </si>
  <si>
    <t>11498460</t>
  </si>
  <si>
    <t>Лестница в небо; 48 законов власти (комплект из 2-х книг). Грин Р., Хазин М.Л., Щеглов С.И.</t>
  </si>
  <si>
    <t>978-5-521-83880-6</t>
  </si>
  <si>
    <t>9785521838806</t>
  </si>
  <si>
    <t>Лестница в небо; 48 законов власти (комплект из 2-х книг)</t>
  </si>
  <si>
    <t>10442000</t>
  </si>
  <si>
    <t>Лучшее фэнтези для гурманов. Вып. 1 (комплект из 3-х книг). Гудман Э.</t>
  </si>
  <si>
    <t>978-5-521-17023-4</t>
  </si>
  <si>
    <t>9785521170234</t>
  </si>
  <si>
    <t>Лучшее фэнтези для гурманов. Вып. 1 (комплект из 3-х книг)</t>
  </si>
  <si>
    <t>10413230</t>
  </si>
  <si>
    <t>Лучшие книги для малышей. Учимся с Джоуи (комплект из 5-ти книг). Хунбо Г.</t>
  </si>
  <si>
    <t>Хунбо Г.</t>
  </si>
  <si>
    <t>978-5-521-16989-4</t>
  </si>
  <si>
    <t>9785521169894</t>
  </si>
  <si>
    <t>Лучшие книги для малышей. Учимся с Джоуи (комплект из 5-ти книг)</t>
  </si>
  <si>
    <t>10440330</t>
  </si>
  <si>
    <t>Любовь и преступление. Вып. 2 (комплект из 3-х книг). Вассму Х., Рейсс Т., Каролина А</t>
  </si>
  <si>
    <t>Вассму Х., Рейсс Т., Каролина А</t>
  </si>
  <si>
    <t>978-5-521-17008-1</t>
  </si>
  <si>
    <t>9785521170081</t>
  </si>
  <si>
    <t>Любовь и преступление. Вып. 2 (комплект из 3-х книг)</t>
  </si>
  <si>
    <t>10440350</t>
  </si>
  <si>
    <t>Любовь и преступление. Вып. 3 (комплект из 3-х книг). Лундберг С., Арнольд Д., Альден Р.Э.</t>
  </si>
  <si>
    <t>Лундберг С., Арнольд Д., Альден Р.Э.</t>
  </si>
  <si>
    <t>978-5-521-17009-8</t>
  </si>
  <si>
    <t>9785521170098</t>
  </si>
  <si>
    <t>Любовь и преступление. Вып. 3 (комплект из 3-х книг)</t>
  </si>
  <si>
    <t>11451670</t>
  </si>
  <si>
    <t>Основы системных решений по модели Черчилля; 48 законов власти (комплект из 2-х книг). Грин Р., Медведев Д.Л.</t>
  </si>
  <si>
    <t>Грин Р., Медведев Д.Л.</t>
  </si>
  <si>
    <t>978-5-521-83633-8</t>
  </si>
  <si>
    <t>9785521836338</t>
  </si>
  <si>
    <t>Основы системных решений по модели Черчилля; 48 законов власти (комплект из 2-х книг)</t>
  </si>
  <si>
    <t>11498490</t>
  </si>
  <si>
    <t>Пищеблок и Пищеблок 2 (комплект из 2-х книг). Иванов А.В., Пронина А.</t>
  </si>
  <si>
    <t>Иванов А.В., Пронина А.</t>
  </si>
  <si>
    <t>978-5-521-83805-9</t>
  </si>
  <si>
    <t>9785521838059</t>
  </si>
  <si>
    <t>Пищеблок и Пищеблок 2 (комплект из 2-х книг)</t>
  </si>
  <si>
    <t>9796810</t>
  </si>
  <si>
    <t>Семейная библиотека (комплект из 3-х книг). Ридел А., Расмуссен К., Александер Дж.</t>
  </si>
  <si>
    <t>Ридел А., Расмуссен К., Александер Дж.</t>
  </si>
  <si>
    <t>978-5-386-14486-9</t>
  </si>
  <si>
    <t>9785386144869</t>
  </si>
  <si>
    <t>Семейная библиотека (комплект из 3-х книг)</t>
  </si>
  <si>
    <t>9656080</t>
  </si>
  <si>
    <t>Семейный бестселлер (комплект из 3-х книг). Боуэн Дж., Джексон С., Колотов К.</t>
  </si>
  <si>
    <t>Боуэн Дж., Джексон С., Колотов К.</t>
  </si>
  <si>
    <t>978-5-386-14153-0</t>
  </si>
  <si>
    <t>9785386141530</t>
  </si>
  <si>
    <t>Семейный бестселлер (комплект из 3-х книг)</t>
  </si>
  <si>
    <t>10413220</t>
  </si>
  <si>
    <t>Советы поросенка Джоуи. Российская премьера (комплект из 5-ти книг). Хунбо Г.</t>
  </si>
  <si>
    <t>978-5-521-16988-7</t>
  </si>
  <si>
    <t>9785521169887</t>
  </si>
  <si>
    <t>Советы поросенка Джоуи. Российская премьера (комплект из 5-ти книг)</t>
  </si>
  <si>
    <t>11498440</t>
  </si>
  <si>
    <t>Тени тевтонов; Пищеблок; Пищеблок -2 (комплект из 3-х книг). Иванов А.В., Пронина А.</t>
  </si>
  <si>
    <t>978-5-521-83858-5</t>
  </si>
  <si>
    <t>9785521838585</t>
  </si>
  <si>
    <t>Тени тевтонов; Пищеблок; Пищеблок -2 (комплект из 3-х книг)</t>
  </si>
  <si>
    <t>11498580</t>
  </si>
  <si>
    <t>Фреймворк управления и анализа проектов DaShe; Интеллектуальный маркетинг; Рули как Черчилль (комплект из 3-х книг). Щеглов С.И., Медведев Д.Л., Давыденков П.И., Огарков А.И.</t>
  </si>
  <si>
    <t>Щеглов С.И., Медведев Д.Л., Давыденков П.И., Огарков А.И.</t>
  </si>
  <si>
    <t>978-5-521-83656-7</t>
  </si>
  <si>
    <t>9785521836567</t>
  </si>
  <si>
    <t>Фреймворк управления и анализа проектов DaShe; Интеллектуальный маркетинг; Рули как Черчилль (комплект из 3-х книг)</t>
  </si>
  <si>
    <t>11498570</t>
  </si>
  <si>
    <t>Хайд; Мавританец; Старьевщица (комплект из 3-х книг). Рой О.Ю., Рассел К., Слахи ульд М.</t>
  </si>
  <si>
    <t>Рой О.Ю., Рассел К., Слахи ульд М.</t>
  </si>
  <si>
    <t>978-5-521-83945-2</t>
  </si>
  <si>
    <t>9785521839452</t>
  </si>
  <si>
    <t>Хайд; Мавританец; Старьевщица (комплект из 3-х книг)</t>
  </si>
  <si>
    <t>9656090</t>
  </si>
  <si>
    <t>Яркие детективы года (комплект из 3-х книг). Эбботт М., Джексон С., Жирардо М.</t>
  </si>
  <si>
    <t>Эбботт М., Джексон С., Жирардо М.</t>
  </si>
  <si>
    <t>978-5-386-14154-7</t>
  </si>
  <si>
    <t>9785386141547</t>
  </si>
  <si>
    <t>Яркие детективы года (комплект из 3-х книг)</t>
  </si>
  <si>
    <t xml:space="preserve">9086360             </t>
  </si>
  <si>
    <t>Конец парада</t>
  </si>
  <si>
    <t>Конец парада. Каждому свое: роман. Форд Ф.М.</t>
  </si>
  <si>
    <t>978-5-386-12735-0</t>
  </si>
  <si>
    <t>9785386124748</t>
  </si>
  <si>
    <t>Конец парада. Каждому свое: роман</t>
  </si>
  <si>
    <t xml:space="preserve">11276450            </t>
  </si>
  <si>
    <t>Коран в переводе Пороховой В.</t>
  </si>
  <si>
    <t>Коран (красный). Перевод смыслов и комментарии Иман Валерии Пороховой. 18-е изд. Гл. ред. Мухаммад Саид Аль-Рошд</t>
  </si>
  <si>
    <t>Гл. ред. Мухаммад Саид Аль-Рошд</t>
  </si>
  <si>
    <t>978-5-386-15207-9</t>
  </si>
  <si>
    <t>9785386152079</t>
  </si>
  <si>
    <t>Коран (красный). Перевод смыслов и комментарии Иман Валерии Пороховой. 18-е изд</t>
  </si>
  <si>
    <t xml:space="preserve">9287070             </t>
  </si>
  <si>
    <t>Корги-детектив</t>
  </si>
  <si>
    <t>Корги-детектив: жестокие вкусняшки. Эбботт М.</t>
  </si>
  <si>
    <t>Эбботт М.</t>
  </si>
  <si>
    <t>978-5-386-13581-2</t>
  </si>
  <si>
    <t>9785386135812</t>
  </si>
  <si>
    <t>Корги-детектив: жестокие вкусняшки</t>
  </si>
  <si>
    <t xml:space="preserve">9471970             </t>
  </si>
  <si>
    <t>Корги-детектив: сварливые пташки. Эбботт М.</t>
  </si>
  <si>
    <t>978-5-386-13762-5</t>
  </si>
  <si>
    <t>9785386137625</t>
  </si>
  <si>
    <t>Корги-детектив: сварливые пташки</t>
  </si>
  <si>
    <t xml:space="preserve">9689840             </t>
  </si>
  <si>
    <t>Корги-детектив: хрустящие печенюшки. Эбботт М.</t>
  </si>
  <si>
    <t>978-5-386-14247-6</t>
  </si>
  <si>
    <t>9785386142476</t>
  </si>
  <si>
    <t>Корги-детектив: хрустящие печенюшки</t>
  </si>
  <si>
    <t xml:space="preserve">9620180             </t>
  </si>
  <si>
    <t>Корни и соль</t>
  </si>
  <si>
    <t>13 сказок лесов и морей. Салливан Д.</t>
  </si>
  <si>
    <t>Салливан Д.</t>
  </si>
  <si>
    <t>978-5-386-13936-0</t>
  </si>
  <si>
    <t>9785386139360</t>
  </si>
  <si>
    <t>13 сказок лесов и морей</t>
  </si>
  <si>
    <t xml:space="preserve">11067770            </t>
  </si>
  <si>
    <t>Гнев - ее ответ. Салливан Д.</t>
  </si>
  <si>
    <t>978-5-386-14993-2</t>
  </si>
  <si>
    <t>9785386149932</t>
  </si>
  <si>
    <t>Гнев - ее ответ</t>
  </si>
  <si>
    <t xml:space="preserve">10236550            </t>
  </si>
  <si>
    <t>Чернила под кожей. Салливан Д.</t>
  </si>
  <si>
    <t>978-5-386-14662-7</t>
  </si>
  <si>
    <t>9785386146627</t>
  </si>
  <si>
    <t>Чернила под кожей</t>
  </si>
  <si>
    <t xml:space="preserve">9735160             </t>
  </si>
  <si>
    <t>Жар предательства. Кеннеди Д.</t>
  </si>
  <si>
    <t>Кеннеди Д.</t>
  </si>
  <si>
    <t>84х100/32</t>
  </si>
  <si>
    <t>978-5-386-14253-7</t>
  </si>
  <si>
    <t>9785386142537</t>
  </si>
  <si>
    <t>Жар предательства</t>
  </si>
  <si>
    <t xml:space="preserve">10169380            </t>
  </si>
  <si>
    <t>Ничего кроме нас. История семейных тайн. Кеннеди Д.</t>
  </si>
  <si>
    <t>978-5-386-14626-9</t>
  </si>
  <si>
    <t>9785386146269</t>
  </si>
  <si>
    <t>Ничего кроме нас. История семейных тайн</t>
  </si>
  <si>
    <t xml:space="preserve">9837290             </t>
  </si>
  <si>
    <t>Особые отношения. Кеннеди Д.</t>
  </si>
  <si>
    <t>978-5-386-14515-6</t>
  </si>
  <si>
    <t>9785386145156</t>
  </si>
  <si>
    <t>Особые отношения</t>
  </si>
  <si>
    <t xml:space="preserve">9972770             </t>
  </si>
  <si>
    <t>Послеполуденная Изабель. Кеннеди Д.</t>
  </si>
  <si>
    <t>978-5-386-14541-5</t>
  </si>
  <si>
    <t>9785386145415</t>
  </si>
  <si>
    <t>Послеполуденная Изабель</t>
  </si>
  <si>
    <t xml:space="preserve">8828150             </t>
  </si>
  <si>
    <t>Краткий путеводитель в рисунках Сергея Чобана</t>
  </si>
  <si>
    <t>Три дня в Амстердаме. Краткий путеводитель в рисунках. Мартовицкая А., Чобан С.</t>
  </si>
  <si>
    <t>Мартовицкая А., Чобан С.</t>
  </si>
  <si>
    <t>60х90/32</t>
  </si>
  <si>
    <t>978-5-386-12313-0</t>
  </si>
  <si>
    <t>9785386123130</t>
  </si>
  <si>
    <t>Три дня в Амстердаме. Краткий путеводитель в рисунках</t>
  </si>
  <si>
    <t xml:space="preserve">8138820             </t>
  </si>
  <si>
    <t>Три дня в Венеции. Краткий путеводитель в рисунках. Мартовицкая А., Чобан С.</t>
  </si>
  <si>
    <t>978-5-386-09999-2</t>
  </si>
  <si>
    <t>9785386099992</t>
  </si>
  <si>
    <t>Три дня в Венеции. Краткий путеводитель в рисунках</t>
  </si>
  <si>
    <t xml:space="preserve">9252400             </t>
  </si>
  <si>
    <t>Три дня в Москве. Краткий путеводитель в рисунках. Мартовицкая А., Чобан С.</t>
  </si>
  <si>
    <t>978-5-386-13549-2</t>
  </si>
  <si>
    <t>9785386135492</t>
  </si>
  <si>
    <t>Три дня в Москве. Краткий путеводитель в рисунках</t>
  </si>
  <si>
    <t>Путешествия. Туризм. Путеводители</t>
  </si>
  <si>
    <t xml:space="preserve">8727950             </t>
  </si>
  <si>
    <t>Три дня в Праге. Краткий путеводитель в рисунках. Мартовицкая А., Чобан С.</t>
  </si>
  <si>
    <t>978-5-386-10672-0</t>
  </si>
  <si>
    <t>9785386106720</t>
  </si>
  <si>
    <t>Три дня в Праге. Краткий путеводитель в рисунках</t>
  </si>
  <si>
    <t xml:space="preserve">8138840             </t>
  </si>
  <si>
    <t>Три дня во Флоренции. Краткий путеводитель в рисунках. Мартовицкая А., Чобан С.</t>
  </si>
  <si>
    <t>978-5-386-10001-8</t>
  </si>
  <si>
    <t>9785386100018</t>
  </si>
  <si>
    <t>Три дня во Флоренции. Краткий путеводитель в рисунках</t>
  </si>
  <si>
    <t xml:space="preserve">10777990            </t>
  </si>
  <si>
    <t>Кризис и Власть</t>
  </si>
  <si>
    <t>Кризис и Власть. Т. 1: Лестница в небо. 2-е изд., доп. и испр. Хазин М.Л., Щеглов С.И.</t>
  </si>
  <si>
    <t>978-5-386-14981-9</t>
  </si>
  <si>
    <t>9785386149819</t>
  </si>
  <si>
    <t>Кризис и Власть. Т. 1: Лестница в небо. 2-е изд., доп. и испр</t>
  </si>
  <si>
    <t xml:space="preserve">10777970            </t>
  </si>
  <si>
    <t>Кризис и Власть. Т. 2: Люди Власти. Диалоги о великих сюзеренах и властных группировках. Хазин М.Л., Щеглов С.И.</t>
  </si>
  <si>
    <t>978-5-386-14975-8</t>
  </si>
  <si>
    <t>9785386149758</t>
  </si>
  <si>
    <t>Кризис и Власть. Т. 2: Люди Власти. Диалоги о великих сюзеренах и властных группировках</t>
  </si>
  <si>
    <t xml:space="preserve">8470160             </t>
  </si>
  <si>
    <t>Лапа друга</t>
  </si>
  <si>
    <t>Уличный кот по имени Боб. Как человек и кот обрели надежду на улицах Лондона. Боуэн Дж.</t>
  </si>
  <si>
    <t>Боуэн Дж.</t>
  </si>
  <si>
    <t>978-5-386-10638-6</t>
  </si>
  <si>
    <t>9785386106386</t>
  </si>
  <si>
    <t>Уличный кот по имени Боб. Как человек и кот обрели надежду на улицах Лондона</t>
  </si>
  <si>
    <t xml:space="preserve">8598550             </t>
  </si>
  <si>
    <t>Лапа друга (pocket book)</t>
  </si>
  <si>
    <t>978-5-386-10742-0</t>
  </si>
  <si>
    <t>9785386107420</t>
  </si>
  <si>
    <t xml:space="preserve">8921070             </t>
  </si>
  <si>
    <t>Лауреат Пулитцеровской премии</t>
  </si>
  <si>
    <t>Черный граф. Подлинная история графа Монте-Кристо. Рейсс Т</t>
  </si>
  <si>
    <t>Рейсс Т</t>
  </si>
  <si>
    <t>978-5-386-10724-6</t>
  </si>
  <si>
    <t>9785386107246</t>
  </si>
  <si>
    <t>Черный граф. Подлинная история графа Монте-Кристо</t>
  </si>
  <si>
    <t xml:space="preserve">8819550             </t>
  </si>
  <si>
    <t>Легендарные системы развития внимания</t>
  </si>
  <si>
    <t>Мастер лабиринтов. Система развития внимания и концентрации. Фрайд Г.</t>
  </si>
  <si>
    <t>Фрайд Г.</t>
  </si>
  <si>
    <t>978-5-386-10546-4</t>
  </si>
  <si>
    <t>9785386105464</t>
  </si>
  <si>
    <t>Мастер лабиринтов. Система развития внимания и концентрации</t>
  </si>
  <si>
    <t xml:space="preserve">11711990            </t>
  </si>
  <si>
    <t>Ледников</t>
  </si>
  <si>
    <t>До встречи в Лондоне. Эта женщина будет моей. Звягинцев А.Г.</t>
  </si>
  <si>
    <t>978-5-386-15430-1</t>
  </si>
  <si>
    <t>9785386154301</t>
  </si>
  <si>
    <t>До встречи в Лондоне. Эта женщина будет моей</t>
  </si>
  <si>
    <t xml:space="preserve">11712000            </t>
  </si>
  <si>
    <t>Ярмарка безумия. Принуждение к любви. Звягинцев А.Г.</t>
  </si>
  <si>
    <t>978-5-386-15428-8</t>
  </si>
  <si>
    <t>9785386154288</t>
  </si>
  <si>
    <t>Ярмарка безумия. Принуждение к любви</t>
  </si>
  <si>
    <t xml:space="preserve">8471990             </t>
  </si>
  <si>
    <t>Лекции PRO</t>
  </si>
  <si>
    <t>Введение в мифологию. 4-е изд. Баркова А.Л</t>
  </si>
  <si>
    <t>Баркова А.Л</t>
  </si>
  <si>
    <t>978-5-386-10524-2</t>
  </si>
  <si>
    <t>9785386105242</t>
  </si>
  <si>
    <t>Введение в мифологию. 4-е изд</t>
  </si>
  <si>
    <t>Фольклористика</t>
  </si>
  <si>
    <t xml:space="preserve">8777560             </t>
  </si>
  <si>
    <t>Уильям Шекспир. человек на фоне культуры и литературы. Разумовская О.В.</t>
  </si>
  <si>
    <t>Разумовская О.В.</t>
  </si>
  <si>
    <t>978-5-386-12171-6</t>
  </si>
  <si>
    <t>9785386121716</t>
  </si>
  <si>
    <t>Уильям Шекспир. человек на фоне культуры и литературы</t>
  </si>
  <si>
    <t>Теория литературы. Творческий процесс. Художественный перевод</t>
  </si>
  <si>
    <t xml:space="preserve">8976720             </t>
  </si>
  <si>
    <t>ЛекцииPRO-classics</t>
  </si>
  <si>
    <t>Введение в психоанализ. Фрейд З.</t>
  </si>
  <si>
    <t>Фрейд З.</t>
  </si>
  <si>
    <t>978-5-386-12521-9</t>
  </si>
  <si>
    <t>9785386125219</t>
  </si>
  <si>
    <t>Введение в психоанализ</t>
  </si>
  <si>
    <t xml:space="preserve">9578490             </t>
  </si>
  <si>
    <t>Лестница в небо</t>
  </si>
  <si>
    <t>978-5-386-13873-8</t>
  </si>
  <si>
    <t>9785386138738</t>
  </si>
  <si>
    <t xml:space="preserve">9577790             </t>
  </si>
  <si>
    <t>978-5-386-13874-5</t>
  </si>
  <si>
    <t>9785386138745</t>
  </si>
  <si>
    <t xml:space="preserve">9577940             </t>
  </si>
  <si>
    <t>Лестница в небо. Диалоги о власти, карьере и мировой элите. Хазин М.Л.</t>
  </si>
  <si>
    <t>978-5-386-13876-9</t>
  </si>
  <si>
    <t>9785386138769</t>
  </si>
  <si>
    <t>241180</t>
  </si>
  <si>
    <t>Лучшие маршруты мира</t>
  </si>
  <si>
    <t xml:space="preserve">Лучшие маршруты Скандинавии. </t>
  </si>
  <si>
    <t>978-5-386-06611-6</t>
  </si>
  <si>
    <t>9785386066116</t>
  </si>
  <si>
    <t xml:space="preserve">584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</si>
  <si>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Описание туристических маршрутов                                                                                                </t>
  </si>
  <si>
    <t>Лучшие маршруты Скандинавии</t>
  </si>
  <si>
    <t>234325</t>
  </si>
  <si>
    <t xml:space="preserve">Лучшие маршруты Франции. Подарите себе путешествие мечты. </t>
  </si>
  <si>
    <t>978-5-386-05735-0</t>
  </si>
  <si>
    <t>9785386057350</t>
  </si>
  <si>
    <t>Лучшие маршруты Франции. Подарите себе путешествие мечты</t>
  </si>
  <si>
    <t xml:space="preserve">11801080            </t>
  </si>
  <si>
    <t>Любимые книги</t>
  </si>
  <si>
    <t>978-5-386-15438-7</t>
  </si>
  <si>
    <t>9785386154387</t>
  </si>
  <si>
    <t xml:space="preserve">11799590            </t>
  </si>
  <si>
    <t>Чайный дворец. Херман Э.</t>
  </si>
  <si>
    <t>Херман Э.</t>
  </si>
  <si>
    <t>978-5-386-15464-6</t>
  </si>
  <si>
    <t>9785386154646</t>
  </si>
  <si>
    <t>Чайный дворец</t>
  </si>
  <si>
    <t xml:space="preserve">8897180             </t>
  </si>
  <si>
    <t>Любимые книги детства</t>
  </si>
  <si>
    <t>Желтый туман: сказочная повесть. Волков А.М.</t>
  </si>
  <si>
    <t>Волков А.М.</t>
  </si>
  <si>
    <t>Кит</t>
  </si>
  <si>
    <t>978-5-386-12214-0</t>
  </si>
  <si>
    <t>9785386122140</t>
  </si>
  <si>
    <t>Желтый туман: сказочная повесть</t>
  </si>
  <si>
    <t xml:space="preserve">8897170             </t>
  </si>
  <si>
    <t>Огненный Бог Марранов: сказочная повесть. Волков А.М.</t>
  </si>
  <si>
    <t>978-5-386-12213-3</t>
  </si>
  <si>
    <t>9785386122133</t>
  </si>
  <si>
    <t>Огненный Бог Марранов: сказочная повесть</t>
  </si>
  <si>
    <t xml:space="preserve">8897460             </t>
  </si>
  <si>
    <t>Приключения капитана Врунгеля: повесть. Некрасов А.С.</t>
  </si>
  <si>
    <t>Некрасов А.С.</t>
  </si>
  <si>
    <t>978-5-386-12307-9</t>
  </si>
  <si>
    <t>9785386123079</t>
  </si>
  <si>
    <t>Приключения капитана Врунгеля: повесть</t>
  </si>
  <si>
    <t xml:space="preserve">8897150             </t>
  </si>
  <si>
    <t>Урфин Джюс и его деревянные солдаты: сказочная повесть. Волков А.М.</t>
  </si>
  <si>
    <t>978-5-386-12206-5</t>
  </si>
  <si>
    <t>9785386122065</t>
  </si>
  <si>
    <t>Урфин Джюс и его деревянные солдаты: сказочная повесть</t>
  </si>
  <si>
    <t xml:space="preserve">9728970             </t>
  </si>
  <si>
    <t>Магический помощник</t>
  </si>
  <si>
    <t xml:space="preserve">Классическое Таро. </t>
  </si>
  <si>
    <t>978-5-386-14186-8</t>
  </si>
  <si>
    <t>9785386141868</t>
  </si>
  <si>
    <t>Классическое Таро</t>
  </si>
  <si>
    <t xml:space="preserve">9859800             </t>
  </si>
  <si>
    <t>Медитация для мужчин</t>
  </si>
  <si>
    <t>Песни Мальдорора. Стихотворения. Лотреамон</t>
  </si>
  <si>
    <t>Лотреамон</t>
  </si>
  <si>
    <t>978-5-386-14516-3</t>
  </si>
  <si>
    <t>9785386145163</t>
  </si>
  <si>
    <t>Песни Мальдорора. Стихотворения</t>
  </si>
  <si>
    <t xml:space="preserve">9725200             </t>
  </si>
  <si>
    <t>Метапроза</t>
  </si>
  <si>
    <t>Приговоренный дар. Избранное. Сибирцев С.Ю.</t>
  </si>
  <si>
    <t>Сибирцев С.Ю.</t>
  </si>
  <si>
    <t>978-5-386-14316-9</t>
  </si>
  <si>
    <t>9785386143169</t>
  </si>
  <si>
    <t>Приговоренный дар. Избранное</t>
  </si>
  <si>
    <t>11018870</t>
  </si>
  <si>
    <t>Мировая история в лицах. Художники</t>
  </si>
  <si>
    <t>Виктор Васнецов. Сост. Курилина А.А.</t>
  </si>
  <si>
    <t>Сост. Курилина А.А.</t>
  </si>
  <si>
    <t>978-5-386-15057-0</t>
  </si>
  <si>
    <t>9785386150570</t>
  </si>
  <si>
    <t>Виктор Васнецов</t>
  </si>
  <si>
    <t>10631160</t>
  </si>
  <si>
    <t>Карл Брюллов. Сост. Коноплева К.И.</t>
  </si>
  <si>
    <t>Сост. Коноплева К.И.</t>
  </si>
  <si>
    <t>978-5-386-14901-7</t>
  </si>
  <si>
    <t>9785386149017</t>
  </si>
  <si>
    <t>Карл Брюллов</t>
  </si>
  <si>
    <t>11018880</t>
  </si>
  <si>
    <t>Огюст Ренуар. Сост. Курилина А.А.</t>
  </si>
  <si>
    <t>978-5-386-15059-4</t>
  </si>
  <si>
    <t>9785386150594</t>
  </si>
  <si>
    <t>Огюст Ренуар</t>
  </si>
  <si>
    <t>11018900</t>
  </si>
  <si>
    <t>Поль Гоген. Сост. Курилина А.А.</t>
  </si>
  <si>
    <t>978-5-386-15061-7</t>
  </si>
  <si>
    <t>9785386150617</t>
  </si>
  <si>
    <t>Поль Гоген</t>
  </si>
  <si>
    <t>11018950</t>
  </si>
  <si>
    <t>Поль Сезанн. Сост. Курилина А.А.</t>
  </si>
  <si>
    <t>978-5-386-15062-4</t>
  </si>
  <si>
    <t>9785386150624</t>
  </si>
  <si>
    <t>Поль Сезанн</t>
  </si>
  <si>
    <t>11018910</t>
  </si>
  <si>
    <t>Сандро Боттичелли. Сост. Курилина А.А.</t>
  </si>
  <si>
    <t>978-5-386-15065-5</t>
  </si>
  <si>
    <t>9785386150655</t>
  </si>
  <si>
    <t>Сандро Боттичелли</t>
  </si>
  <si>
    <t xml:space="preserve">8805590             </t>
  </si>
  <si>
    <t>Мировой бестселлер</t>
  </si>
  <si>
    <t>978-5-386-12196-9</t>
  </si>
  <si>
    <t>9785386121969</t>
  </si>
  <si>
    <t xml:space="preserve">9448180             </t>
  </si>
  <si>
    <t>978-5-386-13732-8</t>
  </si>
  <si>
    <t>9785386137328</t>
  </si>
  <si>
    <t xml:space="preserve">9861000             </t>
  </si>
  <si>
    <t>1795: роман. Натт-о-Даг Н.</t>
  </si>
  <si>
    <t>978-5-386-14524-8</t>
  </si>
  <si>
    <t>9785386145248</t>
  </si>
  <si>
    <t>1795: роман</t>
  </si>
  <si>
    <t xml:space="preserve">9767040             </t>
  </si>
  <si>
    <t>Deadline. Альден Р.Э.</t>
  </si>
  <si>
    <t>978-5-386-14424-1</t>
  </si>
  <si>
    <t>9785386144241</t>
  </si>
  <si>
    <t>Deadline</t>
  </si>
  <si>
    <t xml:space="preserve">9859750             </t>
  </si>
  <si>
    <t>978-5-386-14526-2</t>
  </si>
  <si>
    <t>9785386145262</t>
  </si>
  <si>
    <t xml:space="preserve">10702370            </t>
  </si>
  <si>
    <t>Абрек. Повесть о настоящем волке. Умаров Д.В.</t>
  </si>
  <si>
    <t>Умаров Д.В.</t>
  </si>
  <si>
    <t>978-5-386-14881-2</t>
  </si>
  <si>
    <t>9785386148812</t>
  </si>
  <si>
    <t>Абрек. Повесть о настоящем волке</t>
  </si>
  <si>
    <t xml:space="preserve">10739840            </t>
  </si>
  <si>
    <t>Барбизон. В отеле только девушки. Брен П.</t>
  </si>
  <si>
    <t>Брен П.</t>
  </si>
  <si>
    <t>978-5-386-14741-9</t>
  </si>
  <si>
    <t>9785386147419</t>
  </si>
  <si>
    <t>Барбизон. В отеле только девушки</t>
  </si>
  <si>
    <t xml:space="preserve">9636200             </t>
  </si>
  <si>
    <t>Боги нефрита и тени. Морено-Гарсиа С.</t>
  </si>
  <si>
    <t>978-5-386-13981-0</t>
  </si>
  <si>
    <t>9785386139810</t>
  </si>
  <si>
    <t>Боги нефрита и тени</t>
  </si>
  <si>
    <t xml:space="preserve">10746610            </t>
  </si>
  <si>
    <t>Бронепароходы. Иванов А.В.</t>
  </si>
  <si>
    <t>978-5-386-14942-0</t>
  </si>
  <si>
    <t>9785386149420</t>
  </si>
  <si>
    <t>Бронепароходы</t>
  </si>
  <si>
    <t>11599470</t>
  </si>
  <si>
    <t>Бронепароходы; Вегетация (комплект из 2-х книг). Иванов А.В.</t>
  </si>
  <si>
    <t>Альпина нон-фикшн</t>
  </si>
  <si>
    <t>978-5-521-83916-2</t>
  </si>
  <si>
    <t>9785521839162</t>
  </si>
  <si>
    <t>Бронепароходы; Вегетация (комплект из 2-х книг)</t>
  </si>
  <si>
    <t xml:space="preserve">10292550            </t>
  </si>
  <si>
    <t>В Линкольнвуде гаснет свет. Родки Д.</t>
  </si>
  <si>
    <t>Родки Д.</t>
  </si>
  <si>
    <t>978-5-386-14675-7</t>
  </si>
  <si>
    <t>9785386146757</t>
  </si>
  <si>
    <t>В Линкольнвуде гаснет свет</t>
  </si>
  <si>
    <t xml:space="preserve">9447370             </t>
  </si>
  <si>
    <t>Вкус шалфея: роман. Сантос Й.С.</t>
  </si>
  <si>
    <t>978-5-386-13739-7</t>
  </si>
  <si>
    <t>9785386137397</t>
  </si>
  <si>
    <t>Вкус шалфея: роман</t>
  </si>
  <si>
    <t xml:space="preserve">9801170             </t>
  </si>
  <si>
    <t>978-5-386-14467-8</t>
  </si>
  <si>
    <t>9785386144678</t>
  </si>
  <si>
    <t xml:space="preserve">10748480            </t>
  </si>
  <si>
    <t>Вторая жена. Мэй Л.</t>
  </si>
  <si>
    <t>Мэй Л.</t>
  </si>
  <si>
    <t>978-5-386-14953-6</t>
  </si>
  <si>
    <t>9785386149536</t>
  </si>
  <si>
    <t>Вторая жена</t>
  </si>
  <si>
    <t xml:space="preserve">9968560             </t>
  </si>
  <si>
    <t>Вторая сестра. Чан Хо-Кей</t>
  </si>
  <si>
    <t>Чан Хо-Кей</t>
  </si>
  <si>
    <t>978-5-386-14540-8</t>
  </si>
  <si>
    <t>9785386145408</t>
  </si>
  <si>
    <t>Вторая сестра</t>
  </si>
  <si>
    <t xml:space="preserve">10041640            </t>
  </si>
  <si>
    <t>Гарпия. Хантер М.</t>
  </si>
  <si>
    <t>Хантер М.</t>
  </si>
  <si>
    <t>978-5-386-14584-2</t>
  </si>
  <si>
    <t>9785386145842</t>
  </si>
  <si>
    <t>Гарпия</t>
  </si>
  <si>
    <t xml:space="preserve">9400490             </t>
  </si>
  <si>
    <t>День дьявола. Херли Э.М</t>
  </si>
  <si>
    <t>978-5-386-13700-7</t>
  </si>
  <si>
    <t>9785386137007</t>
  </si>
  <si>
    <t>День дьявола</t>
  </si>
  <si>
    <t xml:space="preserve">10809050            </t>
  </si>
  <si>
    <t>Дочери мертвой империи. Тара О'Нил К.</t>
  </si>
  <si>
    <t>Тара О'Нил К.</t>
  </si>
  <si>
    <t>978-5-386-14939-0</t>
  </si>
  <si>
    <t>9785386149390</t>
  </si>
  <si>
    <t>Дочери мертвой империи</t>
  </si>
  <si>
    <t xml:space="preserve">9531520             </t>
  </si>
  <si>
    <t>Идеальная смерть Мияко Сумиды. Гоэнаван К.</t>
  </si>
  <si>
    <t>Гоэнаван К.</t>
  </si>
  <si>
    <t>978-5-386-13774-8</t>
  </si>
  <si>
    <t>9785386137748</t>
  </si>
  <si>
    <t>Идеальная смерть Мияко Сумиды</t>
  </si>
  <si>
    <t>Литература стран Азии и Африки</t>
  </si>
  <si>
    <t xml:space="preserve">10941500            </t>
  </si>
  <si>
    <t>Икар из Пичугино тож. Хилимов Ю.В.</t>
  </si>
  <si>
    <t>Хилимов Ю.В.</t>
  </si>
  <si>
    <t>978-5-386-15069-3</t>
  </si>
  <si>
    <t>9785386150693</t>
  </si>
  <si>
    <t>Икар из Пичугино тож</t>
  </si>
  <si>
    <t xml:space="preserve">11374570            </t>
  </si>
  <si>
    <t>Камбэк. Чу Л.</t>
  </si>
  <si>
    <t>978-5-386-15153-9</t>
  </si>
  <si>
    <t>9785386151539</t>
  </si>
  <si>
    <t>Камбэк</t>
  </si>
  <si>
    <t xml:space="preserve">9350700             </t>
  </si>
  <si>
    <t>Клуб. Вюргер Т.</t>
  </si>
  <si>
    <t>978-5-386-13668-0</t>
  </si>
  <si>
    <t>9785386136680</t>
  </si>
  <si>
    <t>Клуб</t>
  </si>
  <si>
    <t xml:space="preserve">9078560             </t>
  </si>
  <si>
    <t>Книга Дины 3. Наследство Карны: роман. Вассму Х.</t>
  </si>
  <si>
    <t>Вассму Х.</t>
  </si>
  <si>
    <t>978-5-386-12529-5</t>
  </si>
  <si>
    <t>9785386125295</t>
  </si>
  <si>
    <t>Книга Дины 3. Наследство Карны: роман</t>
  </si>
  <si>
    <t xml:space="preserve">9667010             </t>
  </si>
  <si>
    <t>Корпорация IMAGEN. Александер Дж.</t>
  </si>
  <si>
    <t>Александер Дж.</t>
  </si>
  <si>
    <t>978-5-386-14133-2</t>
  </si>
  <si>
    <t>9785386141332</t>
  </si>
  <si>
    <t>Корпорация IMAGEN</t>
  </si>
  <si>
    <t xml:space="preserve">9646120             </t>
  </si>
  <si>
    <t>978-5-386-13998-8</t>
  </si>
  <si>
    <t>9785386139988</t>
  </si>
  <si>
    <t xml:space="preserve">9670410             </t>
  </si>
  <si>
    <t>978-5-386-14175-2</t>
  </si>
  <si>
    <t>9785386141752</t>
  </si>
  <si>
    <t xml:space="preserve">10371210            </t>
  </si>
  <si>
    <t>Лисьи Броды: роман. Старобинец А.А.</t>
  </si>
  <si>
    <t>978-5-386-14700-6</t>
  </si>
  <si>
    <t>9785386147006</t>
  </si>
  <si>
    <t>Лисьи Броды: роман</t>
  </si>
  <si>
    <t xml:space="preserve">9768950             </t>
  </si>
  <si>
    <t>Любовница. Чайлдс Дж.</t>
  </si>
  <si>
    <t>Чайлдс Дж.</t>
  </si>
  <si>
    <t>978-5-386-14425-8</t>
  </si>
  <si>
    <t>9785386144258</t>
  </si>
  <si>
    <t>Любовница</t>
  </si>
  <si>
    <t xml:space="preserve">9349280             </t>
  </si>
  <si>
    <t>Последняя комета. Страндберг М.</t>
  </si>
  <si>
    <t>978-5-386-13673-4</t>
  </si>
  <si>
    <t>9785386136734</t>
  </si>
  <si>
    <t>Последняя комета</t>
  </si>
  <si>
    <t xml:space="preserve">11107810            </t>
  </si>
  <si>
    <t>Свадебный ассистент. Глэдстоун Р.</t>
  </si>
  <si>
    <t>Глэдстоун Р.</t>
  </si>
  <si>
    <t>978-5-386-14857-7</t>
  </si>
  <si>
    <t>9785386148577</t>
  </si>
  <si>
    <t>Свадебный ассистент</t>
  </si>
  <si>
    <t xml:space="preserve">9286740             </t>
  </si>
  <si>
    <t>Сезон. Дайер Дж.Л., Дайер С.</t>
  </si>
  <si>
    <t>Дайер Дж.Л., Дайер С.</t>
  </si>
  <si>
    <t>978-5-386-13563-8</t>
  </si>
  <si>
    <t>9785386135638</t>
  </si>
  <si>
    <t>Сезон</t>
  </si>
  <si>
    <t xml:space="preserve">10409580            </t>
  </si>
  <si>
    <t>Сердце джаза. Левестам С.</t>
  </si>
  <si>
    <t>Левестам С.</t>
  </si>
  <si>
    <t>978-5-386-14750-1</t>
  </si>
  <si>
    <t>9785386147501</t>
  </si>
  <si>
    <t>Сердце джаза</t>
  </si>
  <si>
    <t xml:space="preserve">9806910             </t>
  </si>
  <si>
    <t>Сердце земли. Габас Л.</t>
  </si>
  <si>
    <t>Габас Л.</t>
  </si>
  <si>
    <t>978-5-386-14428-9</t>
  </si>
  <si>
    <t>9785386144289</t>
  </si>
  <si>
    <t>Сердце земли</t>
  </si>
  <si>
    <t xml:space="preserve">9632720             </t>
  </si>
  <si>
    <t>Следы и тропы. Путешествие по дорогам жизни. Мур Р.</t>
  </si>
  <si>
    <t>Мур Р.</t>
  </si>
  <si>
    <t>978-5-386-13949-0</t>
  </si>
  <si>
    <t>9785386139490</t>
  </si>
  <si>
    <t>Следы и тропы. Путешествие по дорогам жизни</t>
  </si>
  <si>
    <t>Естественные науки в целом</t>
  </si>
  <si>
    <t>Общее естествознание</t>
  </si>
  <si>
    <t xml:space="preserve">10556720            </t>
  </si>
  <si>
    <t>Убийство на летнем фестивале. Уолтерс В.</t>
  </si>
  <si>
    <t>Уолтерс В.</t>
  </si>
  <si>
    <t>978-5-386-14875-1</t>
  </si>
  <si>
    <t>9785386148751</t>
  </si>
  <si>
    <t>Убийство на летнем фестивале</t>
  </si>
  <si>
    <t xml:space="preserve">10419660            </t>
  </si>
  <si>
    <t>Человек-тень. Филдс Х.</t>
  </si>
  <si>
    <t>Филдс Х.</t>
  </si>
  <si>
    <t>978-5-386-14676-4</t>
  </si>
  <si>
    <t>9785386146764</t>
  </si>
  <si>
    <t>Человек-тень</t>
  </si>
  <si>
    <t xml:space="preserve">9801230             </t>
  </si>
  <si>
    <t>Мировые бестселлеры</t>
  </si>
  <si>
    <t>978-5-386-14451-7</t>
  </si>
  <si>
    <t>9785386144517</t>
  </si>
  <si>
    <t>11771230</t>
  </si>
  <si>
    <t>Мистический триллер</t>
  </si>
  <si>
    <t>С ключом на шее: роман (нов). Шаинян К.С</t>
  </si>
  <si>
    <t>Шаинян К.С</t>
  </si>
  <si>
    <t>978-5-386-15458-5</t>
  </si>
  <si>
    <t>9785386154585</t>
  </si>
  <si>
    <t>С ключом на шее: роман (нов)</t>
  </si>
  <si>
    <t xml:space="preserve">8467010             </t>
  </si>
  <si>
    <t>Мое здоровье</t>
  </si>
  <si>
    <t xml:space="preserve">Лечимся дома. Диабет. </t>
  </si>
  <si>
    <t>978-5-386-10586-0</t>
  </si>
  <si>
    <t>9785386105860</t>
  </si>
  <si>
    <t>Лечимся дома. Диабет</t>
  </si>
  <si>
    <t xml:space="preserve">8419600             </t>
  </si>
  <si>
    <t xml:space="preserve">Я вам помогу. Народный целитель. </t>
  </si>
  <si>
    <t>978-5-386-10437-5</t>
  </si>
  <si>
    <t>9785386104375</t>
  </si>
  <si>
    <t>Я вам помогу. Народный целитель</t>
  </si>
  <si>
    <t>Народная медицина. Нетрадиционные методы лечения</t>
  </si>
  <si>
    <t xml:space="preserve">11946570            </t>
  </si>
  <si>
    <t>Молодые и злые</t>
  </si>
  <si>
    <t>Последняя обитель. Мамон А.В</t>
  </si>
  <si>
    <t>978-5-386-15533-9</t>
  </si>
  <si>
    <t>9785386155339</t>
  </si>
  <si>
    <t>Последняя обитель</t>
  </si>
  <si>
    <t xml:space="preserve">9597410             </t>
  </si>
  <si>
    <t>Мужчина и женщина</t>
  </si>
  <si>
    <t>Знак скрепки. Теория и практика расставаний. Каковкин Г.В.</t>
  </si>
  <si>
    <t>978-5-386-13804-2</t>
  </si>
  <si>
    <t>9785386138042</t>
  </si>
  <si>
    <t>Знак скрепки. Теория и практика расставаний</t>
  </si>
  <si>
    <t xml:space="preserve">10488820            </t>
  </si>
  <si>
    <t>Мыслители России</t>
  </si>
  <si>
    <t>Нам нужна великая Россия. Избранные статьи и речи. Столыпин П.А.</t>
  </si>
  <si>
    <t>Столыпин П.А.</t>
  </si>
  <si>
    <t>978-5-386-14813-3</t>
  </si>
  <si>
    <t>9785386148133</t>
  </si>
  <si>
    <t>Нам нужна великая Россия. Избранные статьи и речи</t>
  </si>
  <si>
    <t xml:space="preserve">10482280            </t>
  </si>
  <si>
    <t>Россия. Путь к возрождению. Ильин И.А.</t>
  </si>
  <si>
    <t>Ильин И.А.</t>
  </si>
  <si>
    <t>978-5-386-14815-7</t>
  </si>
  <si>
    <t>9785386148157</t>
  </si>
  <si>
    <t>Россия. Путь к возрождению</t>
  </si>
  <si>
    <t xml:space="preserve">9416860             </t>
  </si>
  <si>
    <t>Народы и страны</t>
  </si>
  <si>
    <t>Венец моды и традиции. Головные уборы народов мира. Бабаев К.В.</t>
  </si>
  <si>
    <t>Бабаев К.В.</t>
  </si>
  <si>
    <t>978-5-386-13659-8</t>
  </si>
  <si>
    <t>9785386136598</t>
  </si>
  <si>
    <t>Венец моды и традиции. Головные уборы народов мира</t>
  </si>
  <si>
    <t>Этнография</t>
  </si>
  <si>
    <t>Историческая этнография</t>
  </si>
  <si>
    <t xml:space="preserve">10034160            </t>
  </si>
  <si>
    <t>Наследие Шильникова</t>
  </si>
  <si>
    <t>Между ушами. Феномены мышления, интуиции и памяти. Шильников Л.В.</t>
  </si>
  <si>
    <t>Шильников Л.В.</t>
  </si>
  <si>
    <t>978-5-386-14589-7</t>
  </si>
  <si>
    <t>9785386145897</t>
  </si>
  <si>
    <t>Между ушами. Феномены мышления, интуиции и памяти</t>
  </si>
  <si>
    <t xml:space="preserve">10043500            </t>
  </si>
  <si>
    <t>Разумное животное. Человек на обочине эволюции. Шильников Л.В.</t>
  </si>
  <si>
    <t>978-5-386-14591-0</t>
  </si>
  <si>
    <t>9785386145910</t>
  </si>
  <si>
    <t>Разумное животное. Человек на обочине эволюции</t>
  </si>
  <si>
    <t>Антропология. Биология человека</t>
  </si>
  <si>
    <t xml:space="preserve">10019590            </t>
  </si>
  <si>
    <t>Циклоид и шизоид. Шильников Л.В.</t>
  </si>
  <si>
    <t>978-5-386-14590-3</t>
  </si>
  <si>
    <t>9785386145903</t>
  </si>
  <si>
    <t>Циклоид и шизоид</t>
  </si>
  <si>
    <t xml:space="preserve">10748430            </t>
  </si>
  <si>
    <t>Настоящие преступники</t>
  </si>
  <si>
    <t>Helter Skelter: Правда о Чарли Мэнсоне. Буглиози В.</t>
  </si>
  <si>
    <t>Буглиози В.</t>
  </si>
  <si>
    <t>978-5-386-14951-2</t>
  </si>
  <si>
    <t>9785386149512</t>
  </si>
  <si>
    <t>Helter Skelter: Правда о Чарли Мэнсоне</t>
  </si>
  <si>
    <t xml:space="preserve">10170730            </t>
  </si>
  <si>
    <t>Заклейменная. История о том, как я сбежала из секс-культа. Эдмондсон С., Гасбарре К.</t>
  </si>
  <si>
    <t>Эдмондсон С., Гасбарре К.</t>
  </si>
  <si>
    <t>978-5-386-14638-2</t>
  </si>
  <si>
    <t>9785386146382</t>
  </si>
  <si>
    <t>Заклейменная. История о том, как я сбежала из секс-культа</t>
  </si>
  <si>
    <t xml:space="preserve">10739570            </t>
  </si>
  <si>
    <t>Пожиратели тьмы: Токийский кошмар. Пэрри Р.Л.</t>
  </si>
  <si>
    <t>Пэрри Р.Л.</t>
  </si>
  <si>
    <t>978-5-386-14952-9</t>
  </si>
  <si>
    <t>9785386149529</t>
  </si>
  <si>
    <t>Пожиратели тьмы: Токийский кошмар</t>
  </si>
  <si>
    <t xml:space="preserve">8859000             </t>
  </si>
  <si>
    <t>Серийные убийцы: Кровавые хроники российских маньяков. Модестов Н.С.</t>
  </si>
  <si>
    <t>Модестов Н.С.</t>
  </si>
  <si>
    <t>978-5-386-12352-9</t>
  </si>
  <si>
    <t>9785386123529</t>
  </si>
  <si>
    <t>Серийные убийцы: Кровавые хроники российских маньяков</t>
  </si>
  <si>
    <t>Криминология. Криминалистика</t>
  </si>
  <si>
    <t>Криминология</t>
  </si>
  <si>
    <t xml:space="preserve">10455270            </t>
  </si>
  <si>
    <t>978-5-386-14806-5</t>
  </si>
  <si>
    <t>9785386148065</t>
  </si>
  <si>
    <t xml:space="preserve">11092900            </t>
  </si>
  <si>
    <t>Скверное место. Время московское. Тихомиров В</t>
  </si>
  <si>
    <t>Тихомиров В</t>
  </si>
  <si>
    <t>978-5-386-15074-7</t>
  </si>
  <si>
    <t>9785386150747</t>
  </si>
  <si>
    <t>Скверное место. Время московское</t>
  </si>
  <si>
    <t xml:space="preserve">10530540            </t>
  </si>
  <si>
    <t>Товарищ Чикатило. Ольгин О., Кривич М.</t>
  </si>
  <si>
    <t>Ольгин О., Кривич М.</t>
  </si>
  <si>
    <t>978-5-386-14854-6</t>
  </si>
  <si>
    <t>9785386148546</t>
  </si>
  <si>
    <t>Товарищ Чикатило</t>
  </si>
  <si>
    <t xml:space="preserve">8740470             </t>
  </si>
  <si>
    <t>Ужас Амитивилля. Энсон Дж.</t>
  </si>
  <si>
    <t>Энсон Дж.</t>
  </si>
  <si>
    <t>978-5-386-10805-2</t>
  </si>
  <si>
    <t>9785386108052</t>
  </si>
  <si>
    <t>Ужас Амитивилля</t>
  </si>
  <si>
    <t xml:space="preserve">10777900            </t>
  </si>
  <si>
    <t>Настоящий детектив</t>
  </si>
  <si>
    <t>978-5-386-14943-7</t>
  </si>
  <si>
    <t>9785386149437</t>
  </si>
  <si>
    <t xml:space="preserve">9053190             </t>
  </si>
  <si>
    <t>Наше столетие</t>
  </si>
  <si>
    <t>Разные люди. Рекшан В.О.</t>
  </si>
  <si>
    <t>Рекшан В.О.</t>
  </si>
  <si>
    <t>978-5-386-12655-1</t>
  </si>
  <si>
    <t>9785386126551</t>
  </si>
  <si>
    <t>Разные люди</t>
  </si>
  <si>
    <t xml:space="preserve">7228410             </t>
  </si>
  <si>
    <t>Небо повсюду</t>
  </si>
  <si>
    <t>Небо повсюду. Нельсон Дж.</t>
  </si>
  <si>
    <t>Нельсон Дж.</t>
  </si>
  <si>
    <t>978-5-386-08775-3</t>
  </si>
  <si>
    <t>9785386087753</t>
  </si>
  <si>
    <t xml:space="preserve">8496600             </t>
  </si>
  <si>
    <t>Никас Великолепный</t>
  </si>
  <si>
    <t>Кино для взрослых: "Никас Сафронов". Сафронов Н., Иванова Н</t>
  </si>
  <si>
    <t>Сафронов Н., Иванова Н</t>
  </si>
  <si>
    <t>978-5-386-10355-2</t>
  </si>
  <si>
    <t>9785386103552</t>
  </si>
  <si>
    <t>Кино для взрослых: "Никас Сафронов"</t>
  </si>
  <si>
    <t xml:space="preserve">8601040             </t>
  </si>
  <si>
    <t>Новая проза</t>
  </si>
  <si>
    <t>Мы отрываемся от земли: сборник повестей. Ионова М.Б</t>
  </si>
  <si>
    <t>Ионова М.Б</t>
  </si>
  <si>
    <t>978-5-386-10670-6</t>
  </si>
  <si>
    <t>9785386106706</t>
  </si>
  <si>
    <t>Мы отрываемся от земли: сборник повестей</t>
  </si>
  <si>
    <t xml:space="preserve">9709760             </t>
  </si>
  <si>
    <t>Новая реальность</t>
  </si>
  <si>
    <t>978-5-386-14286-5</t>
  </si>
  <si>
    <t>9785386142865</t>
  </si>
  <si>
    <t xml:space="preserve">9182030             </t>
  </si>
  <si>
    <t>Конвергентная культура. Столкновение старых и новых медиа. Дженкинс Г.</t>
  </si>
  <si>
    <t>Дженкинс Г.</t>
  </si>
  <si>
    <t>978-5-386-13461-7</t>
  </si>
  <si>
    <t>9785386134617</t>
  </si>
  <si>
    <t>Конвергентная культура. Столкновение старых и новых медиа</t>
  </si>
  <si>
    <t>Прикладная культурология</t>
  </si>
  <si>
    <t xml:space="preserve">9552350             </t>
  </si>
  <si>
    <t>Новая экономика</t>
  </si>
  <si>
    <t>Тревога и контроль. Стратегии выживания в российском бизнесе. Шустерман Д.М., Трусов Г.Л.</t>
  </si>
  <si>
    <t>Шустерман Д.М., Трусов Г.Л.</t>
  </si>
  <si>
    <t>978-5-386-13701-4</t>
  </si>
  <si>
    <t>9785386137014</t>
  </si>
  <si>
    <t>Тревога и контроль. Стратегии выживания в российском бизнесе</t>
  </si>
  <si>
    <t xml:space="preserve">10162170            </t>
  </si>
  <si>
    <t>Новое знание</t>
  </si>
  <si>
    <t>978-5-386-14627-6</t>
  </si>
  <si>
    <t>9785386146276</t>
  </si>
  <si>
    <t xml:space="preserve">10473720            </t>
  </si>
  <si>
    <t>Единство со всей жизнью. Вдохновляющие фрагменты из "Новой жизни". Толле Э.</t>
  </si>
  <si>
    <t>978-5-386-14803-4</t>
  </si>
  <si>
    <t>9785386148034</t>
  </si>
  <si>
    <t>Единство со всей жизнью. Вдохновляющие фрагменты из "Новой жизни"</t>
  </si>
  <si>
    <t xml:space="preserve">10233700            </t>
  </si>
  <si>
    <t>978-5-386-14615-3</t>
  </si>
  <si>
    <t>9785386146153</t>
  </si>
  <si>
    <t xml:space="preserve">10726090            </t>
  </si>
  <si>
    <t>Легкость бытия. Рэй М.</t>
  </si>
  <si>
    <t>Рэй М.</t>
  </si>
  <si>
    <t>978-5-386-14859-1</t>
  </si>
  <si>
    <t>9785386148591</t>
  </si>
  <si>
    <t>Легкость бытия</t>
  </si>
  <si>
    <t xml:space="preserve">10162150            </t>
  </si>
  <si>
    <t>Эротика (обл.). Саломе Л.</t>
  </si>
  <si>
    <t>Саломе Л.</t>
  </si>
  <si>
    <t>978-5-386-14622-1</t>
  </si>
  <si>
    <t>9785386146221</t>
  </si>
  <si>
    <t>Эротика (обл.)</t>
  </si>
  <si>
    <t xml:space="preserve">8297310             </t>
  </si>
  <si>
    <t>Новые приключения Петрова и Васечкина</t>
  </si>
  <si>
    <t>Необыкновенные приключения Петрова и Васечкина в Колумбии. В поисках сокровищ. Алеников В.М.</t>
  </si>
  <si>
    <t>978-5-386-10291-3</t>
  </si>
  <si>
    <t>9785386102913</t>
  </si>
  <si>
    <t>Необыкновенные приключения Петрова и Васечкина в Колумбии. В поисках сокровищ</t>
  </si>
  <si>
    <t xml:space="preserve">8420360             </t>
  </si>
  <si>
    <t>Новейшие приключения Петрова и Васечкина в горах Кавказа. Алеников В.М.</t>
  </si>
  <si>
    <t>978-5-386-10315-6</t>
  </si>
  <si>
    <t>9785386103156</t>
  </si>
  <si>
    <t>Новейшие приключения Петрова и Васечкина в горах Кавказа</t>
  </si>
  <si>
    <t>238755</t>
  </si>
  <si>
    <t>Новый год своими руками</t>
  </si>
  <si>
    <t>Фигурки. Хворостухина С.А.</t>
  </si>
  <si>
    <t>Хворостухина С.А.</t>
  </si>
  <si>
    <t>978-5-386-06809-7</t>
  </si>
  <si>
    <t>9785386068097</t>
  </si>
  <si>
    <t xml:space="preserve">510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</si>
  <si>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Рукоделие                                                                                                                       </t>
  </si>
  <si>
    <t>Фигурки</t>
  </si>
  <si>
    <t>Домоводство. Рукоделие</t>
  </si>
  <si>
    <t>Рукоделие. Ремесла</t>
  </si>
  <si>
    <t xml:space="preserve">11926760            </t>
  </si>
  <si>
    <t>Новый образ жизни</t>
  </si>
  <si>
    <t>"Программы смерти" и психоиммунология в онкологии. Ларин А.В.</t>
  </si>
  <si>
    <t>Ларин А.В.</t>
  </si>
  <si>
    <t>978-5-386-15517-9</t>
  </si>
  <si>
    <t>9785386155179</t>
  </si>
  <si>
    <t>"Программы смерти" и психоиммунология в онкологии</t>
  </si>
  <si>
    <t xml:space="preserve">10664900            </t>
  </si>
  <si>
    <t>978-5-386-14919-2</t>
  </si>
  <si>
    <t>9785386149192</t>
  </si>
  <si>
    <t xml:space="preserve">11791350            </t>
  </si>
  <si>
    <t>Антистрах. От тревоги к действию: твои инструменты для новой реальности. Пронина А., Шуров В.</t>
  </si>
  <si>
    <t>Пронина А., Шуров В.</t>
  </si>
  <si>
    <t>978-5-386-15423-3</t>
  </si>
  <si>
    <t>9785386154233</t>
  </si>
  <si>
    <t>Антистрах. От тревоги к действию: твои инструменты для новой реальности</t>
  </si>
  <si>
    <t xml:space="preserve">11903490            </t>
  </si>
  <si>
    <t>Гипноз. Путь бессознательного. Полетаева Н.Н.</t>
  </si>
  <si>
    <t>978-5-386-15522-3</t>
  </si>
  <si>
    <t>9785386155223</t>
  </si>
  <si>
    <t>Гипноз. Путь бессознательного</t>
  </si>
  <si>
    <t xml:space="preserve">10038000            </t>
  </si>
  <si>
    <t>ГУРУКНИГА. Випассана своими руками. Семидневный ретрит. Пошаговая инструкция. Раманова А.А.</t>
  </si>
  <si>
    <t>Раманова А.А.</t>
  </si>
  <si>
    <t>978-5-386-14602-3</t>
  </si>
  <si>
    <t>9785386146023</t>
  </si>
  <si>
    <t>ГУРУКНИГА. Випассана своими руками. Семидневный ретрит. Пошаговая инструкция</t>
  </si>
  <si>
    <t xml:space="preserve">8404760             </t>
  </si>
  <si>
    <t>978-5-386-10500-6</t>
  </si>
  <si>
    <t>9785386105006</t>
  </si>
  <si>
    <t xml:space="preserve">11540410            </t>
  </si>
  <si>
    <t>Новое сознание. Универсальный путь на свободу. Рэй М.</t>
  </si>
  <si>
    <t>978-5-386-15328-1</t>
  </si>
  <si>
    <t>9785386153281</t>
  </si>
  <si>
    <t>Новое сознание. Универсальный путь на свободу</t>
  </si>
  <si>
    <t xml:space="preserve">9112600             </t>
  </si>
  <si>
    <t>Нуар</t>
  </si>
  <si>
    <t>978-5-386-12378-9</t>
  </si>
  <si>
    <t>9785386123789</t>
  </si>
  <si>
    <t xml:space="preserve">11775700            </t>
  </si>
  <si>
    <t>Обитель Тьмы</t>
  </si>
  <si>
    <t>Вампиры. Из семейной хроники графов Дракула-Карди. Олшеври</t>
  </si>
  <si>
    <t>978-5-386-15406-6</t>
  </si>
  <si>
    <t>9785386154066</t>
  </si>
  <si>
    <t>Вампиры. Из семейной хроники графов Дракула-Карди</t>
  </si>
  <si>
    <t xml:space="preserve">11775730            </t>
  </si>
  <si>
    <t>978-5-386-15404-2</t>
  </si>
  <si>
    <t>9785386154042</t>
  </si>
  <si>
    <t xml:space="preserve">11775710            </t>
  </si>
  <si>
    <t>978-5-386-15410-3</t>
  </si>
  <si>
    <t>9785386154103</t>
  </si>
  <si>
    <t xml:space="preserve">11600700            </t>
  </si>
  <si>
    <t>Острые грани истории</t>
  </si>
  <si>
    <t>"Враг народа" Василий Сталин. Звягинцев А.Г.</t>
  </si>
  <si>
    <t>978-5-386-15360-1</t>
  </si>
  <si>
    <t>9785386153601</t>
  </si>
  <si>
    <t>"Враг народа" Василий Сталин</t>
  </si>
  <si>
    <t xml:space="preserve">11603290            </t>
  </si>
  <si>
    <t>"Паралитики власти" и "эпилептики революции". Звягинцев А.Г.</t>
  </si>
  <si>
    <t>978-5-386-15362-5</t>
  </si>
  <si>
    <t>9785386153625</t>
  </si>
  <si>
    <t>"Паралитики власти" и "эпилептики революции"</t>
  </si>
  <si>
    <t xml:space="preserve">11782550            </t>
  </si>
  <si>
    <t>Ветер Возмездия. Токийский Международный военный Трибунал в истории цивилизации. Звягинцев А.Г.</t>
  </si>
  <si>
    <t>978-5-386-15432-5</t>
  </si>
  <si>
    <t>9785386154325</t>
  </si>
  <si>
    <t>Ветер Возмездия. Токийский Международный военный Трибунал в истории цивилизации</t>
  </si>
  <si>
    <t xml:space="preserve">11192130            </t>
  </si>
  <si>
    <t>Заговор прокуроров. Звягинцев А.Г.</t>
  </si>
  <si>
    <t>978-5-386-15100-3</t>
  </si>
  <si>
    <t>9785386151003</t>
  </si>
  <si>
    <t>Заговор прокуроров</t>
  </si>
  <si>
    <t xml:space="preserve">11603300            </t>
  </si>
  <si>
    <t>978-5-386-15365-6</t>
  </si>
  <si>
    <t>9785386153656</t>
  </si>
  <si>
    <t xml:space="preserve">10239790            </t>
  </si>
  <si>
    <t>Заговор самоубийц. Звягинцев А.Г.</t>
  </si>
  <si>
    <t>978-5-386-14458-6</t>
  </si>
  <si>
    <t>9785386144586</t>
  </si>
  <si>
    <t>Заговор самоубийц</t>
  </si>
  <si>
    <t xml:space="preserve">11602530            </t>
  </si>
  <si>
    <t>Как Сталин Гитлера под "Монастырь" подвел. Звягинцев А.Г.</t>
  </si>
  <si>
    <t>978-5-386-15359-5</t>
  </si>
  <si>
    <t>9785386153595</t>
  </si>
  <si>
    <t>Как Сталин Гитлера под "Монастырь" подвел</t>
  </si>
  <si>
    <t xml:space="preserve">11509570            </t>
  </si>
  <si>
    <t>Меч возмездия. Звягинцев А.Г.</t>
  </si>
  <si>
    <t>978-5-386-15361-8</t>
  </si>
  <si>
    <t>9785386153618</t>
  </si>
  <si>
    <t>Меч возмездия</t>
  </si>
  <si>
    <t xml:space="preserve">11782560            </t>
  </si>
  <si>
    <t>Палачи ада. Уроки Хабаровского процесса. Звягинцев А.Г.</t>
  </si>
  <si>
    <t>978-5-386-15431-8</t>
  </si>
  <si>
    <t>9785386154318</t>
  </si>
  <si>
    <t>Палачи ада. Уроки Хабаровского процесса</t>
  </si>
  <si>
    <t xml:space="preserve">10643980            </t>
  </si>
  <si>
    <t>Паралитики власти" и "эпилептики революции". Звягинцев А.Г.</t>
  </si>
  <si>
    <t>978-5-386-14869-0</t>
  </si>
  <si>
    <t>9785386148690</t>
  </si>
  <si>
    <t>Паралитики власти" и "эпилептики революции"</t>
  </si>
  <si>
    <t xml:space="preserve">11603310            </t>
  </si>
  <si>
    <t>Прокурорские тайны. Улики времени. Звягинцев А.Г.</t>
  </si>
  <si>
    <t>978-5-386-15364-9</t>
  </si>
  <si>
    <t>9785386153649</t>
  </si>
  <si>
    <t>Прокурорские тайны. Улики времени</t>
  </si>
  <si>
    <t xml:space="preserve">11612620            </t>
  </si>
  <si>
    <t>Руденко - патриарх советской прокуратуры. Главный обвинитель от СССР на Нюрнбергском процессе. Звягинцев А.Г.</t>
  </si>
  <si>
    <t>978-5-386-15363-2</t>
  </si>
  <si>
    <t>9785386153632</t>
  </si>
  <si>
    <t>Руденко - патриарх советской прокуратуры. Главный обвинитель от СССР на Нюрнбергском процессе</t>
  </si>
  <si>
    <t xml:space="preserve">7586720             </t>
  </si>
  <si>
    <t>Отдельное издание</t>
  </si>
  <si>
    <t>Жажда жизни. Шацкая Н.А.</t>
  </si>
  <si>
    <t>Шацкая Н.А.</t>
  </si>
  <si>
    <t>108х90/16</t>
  </si>
  <si>
    <t>978-5-386-09355-6</t>
  </si>
  <si>
    <t>9785386093556</t>
  </si>
  <si>
    <t>Жажда жизни</t>
  </si>
  <si>
    <t xml:space="preserve">9479310             </t>
  </si>
  <si>
    <t>Искра в сердце: стихи. Лайдинен Н.</t>
  </si>
  <si>
    <t>978-5-386-13760-1</t>
  </si>
  <si>
    <t>9785386137601</t>
  </si>
  <si>
    <t>Искра в сердце: стихи</t>
  </si>
  <si>
    <t xml:space="preserve">8805140             </t>
  </si>
  <si>
    <t>978-5-386-12139-6</t>
  </si>
  <si>
    <t>9785386121396</t>
  </si>
  <si>
    <t xml:space="preserve">9688010             </t>
  </si>
  <si>
    <t>Энциклопедия эрудита. В вопросах и ответах. Сост. Кондрашов А.П.</t>
  </si>
  <si>
    <t>978-5-386-14134-9</t>
  </si>
  <si>
    <t>9785386141349</t>
  </si>
  <si>
    <t>Энциклопедия эрудита. В вопросах и ответах</t>
  </si>
  <si>
    <t xml:space="preserve">7288270             </t>
  </si>
  <si>
    <t>Отдельные бестселлеры</t>
  </si>
  <si>
    <t>48 законов власти (полная версия) (офсет). Грин Р.</t>
  </si>
  <si>
    <t>978-5-386-06156-2</t>
  </si>
  <si>
    <t>9785386061562</t>
  </si>
  <si>
    <t>48 законов власти (полная версия) (офсет)</t>
  </si>
  <si>
    <t>119829</t>
  </si>
  <si>
    <t>Отдельные издания</t>
  </si>
  <si>
    <t>Свадебный макияж. Как стать восхитительной невестой. Джонс Р.</t>
  </si>
  <si>
    <t>Джонс Р.</t>
  </si>
  <si>
    <t>2007</t>
  </si>
  <si>
    <t>978-5-7905-5278-6</t>
  </si>
  <si>
    <t>9785790552786</t>
  </si>
  <si>
    <t xml:space="preserve">563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</si>
  <si>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Уход за кожей. Макияж                                                                                                           </t>
  </si>
  <si>
    <t>Свадебный макияж. Как стать восхитительной невестой</t>
  </si>
  <si>
    <t>Красота. Любовь. Здоровье</t>
  </si>
  <si>
    <t>Парфюмерия. Косметика. Макияж</t>
  </si>
  <si>
    <t>314512</t>
  </si>
  <si>
    <t>Черчилль 1911-1914. Власть. Действие. Организация. Незабываемые дни. Медведев Д.Л.</t>
  </si>
  <si>
    <t>978-5-386-07017-5</t>
  </si>
  <si>
    <t>9785386070175</t>
  </si>
  <si>
    <t xml:space="preserve">033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</si>
  <si>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История зарубежных стран                                                                                                        </t>
  </si>
  <si>
    <t>Черчилль 1911-1914. Власть. Действие. Организация. Незабываемые дни</t>
  </si>
  <si>
    <t>319648</t>
  </si>
  <si>
    <t>Это Вам для брошюры, господин Бахманн!. Вальгрен К.-Й.</t>
  </si>
  <si>
    <t>Вальгрен К.-Й.</t>
  </si>
  <si>
    <t>2015</t>
  </si>
  <si>
    <t>978-5-386-08241-3</t>
  </si>
  <si>
    <t>9785386082413</t>
  </si>
  <si>
    <t>Это Вам для брошюры, господин Бахманн!</t>
  </si>
  <si>
    <t xml:space="preserve">9589820             </t>
  </si>
  <si>
    <t>Пир мудрецов</t>
  </si>
  <si>
    <t>978-5-386-13898-1</t>
  </si>
  <si>
    <t>9785386138981</t>
  </si>
  <si>
    <t xml:space="preserve">11825970            </t>
  </si>
  <si>
    <t>Письма из Маринбурга</t>
  </si>
  <si>
    <t>Дуэльный сезон. Зимовец А.</t>
  </si>
  <si>
    <t>Зимовец А.</t>
  </si>
  <si>
    <t>RUGRAM_ЛИТНЕТ</t>
  </si>
  <si>
    <t>978-5-386-15479-0</t>
  </si>
  <si>
    <t>9785386154790</t>
  </si>
  <si>
    <t>Дуэльный сезон</t>
  </si>
  <si>
    <t xml:space="preserve">9691070             </t>
  </si>
  <si>
    <t>Плейлист</t>
  </si>
  <si>
    <t>Metallica. Вся правда о группе. Макайвер Дж.</t>
  </si>
  <si>
    <t>Макайвер Дж.</t>
  </si>
  <si>
    <t>978-5-386-13851-6</t>
  </si>
  <si>
    <t>9785386138516</t>
  </si>
  <si>
    <t>Metallica. Вся правда о группе</t>
  </si>
  <si>
    <t>Музыка</t>
  </si>
  <si>
    <t xml:space="preserve">9972930             </t>
  </si>
  <si>
    <t>Грандиозная история музыки XX века. Рондарев А.В.</t>
  </si>
  <si>
    <t>Рондарев А.В.</t>
  </si>
  <si>
    <t>978-5-386-14405-0</t>
  </si>
  <si>
    <t>9785386144050</t>
  </si>
  <si>
    <t>Грандиозная история музыки XX века</t>
  </si>
  <si>
    <t>9051780</t>
  </si>
  <si>
    <t>Подарочная галерея</t>
  </si>
  <si>
    <t>Будь собой! (комплект из 2-х книг). Кунер Д.</t>
  </si>
  <si>
    <t>978-5-386-12623-0</t>
  </si>
  <si>
    <t>9785386126230</t>
  </si>
  <si>
    <t>Будь собой! (комплект из 2-х книг)</t>
  </si>
  <si>
    <t>9038060</t>
  </si>
  <si>
    <t>Игра без правил (комплект из 2-х кн.). Джонсон М., Шиван В.</t>
  </si>
  <si>
    <t>Джонсон М., Шиван В.</t>
  </si>
  <si>
    <t>978-5-386-12626-1</t>
  </si>
  <si>
    <t>9785386126261</t>
  </si>
  <si>
    <t>Игра без правил (комплект из 2-х кн.)</t>
  </si>
  <si>
    <t>9051830</t>
  </si>
  <si>
    <t>Мой лучший бойфренд (комплект из 2-х книг). Уикс С., Новак Э.</t>
  </si>
  <si>
    <t>Уикс С., Новак Э.</t>
  </si>
  <si>
    <t>978-5-386-12624-7</t>
  </si>
  <si>
    <t>9785386126247</t>
  </si>
  <si>
    <t>Мой лучший бойфренд (комплект из 2-х книг)</t>
  </si>
  <si>
    <t>9072400</t>
  </si>
  <si>
    <t xml:space="preserve">По Европе на автомобиле (комплект из 2-х книг). </t>
  </si>
  <si>
    <t>978-5-386-12649-0</t>
  </si>
  <si>
    <t>9785386126490</t>
  </si>
  <si>
    <t>По Европе на автомобиле (комплект из 2-х книг)</t>
  </si>
  <si>
    <t xml:space="preserve">11693680            </t>
  </si>
  <si>
    <t>Подарочная полка</t>
  </si>
  <si>
    <t>978-5-386-15427-1</t>
  </si>
  <si>
    <t>9785386154271</t>
  </si>
  <si>
    <t xml:space="preserve">11095730            </t>
  </si>
  <si>
    <t>978-5-386-15124-9</t>
  </si>
  <si>
    <t>9785386151249</t>
  </si>
  <si>
    <t xml:space="preserve">8360960             </t>
  </si>
  <si>
    <t>Эффективный Черчилль. Медведев Д.Л.</t>
  </si>
  <si>
    <t>978-5-386-10352-1</t>
  </si>
  <si>
    <t>9785386103521</t>
  </si>
  <si>
    <t>Эффективный Черчилль</t>
  </si>
  <si>
    <t xml:space="preserve">9194200             </t>
  </si>
  <si>
    <t>Политическая антропология</t>
  </si>
  <si>
    <t>Невинные инквизиторы. Джордж Оруэлл и политическая антропология. Хаустов Д.</t>
  </si>
  <si>
    <t>Хаустов Д.</t>
  </si>
  <si>
    <t>978-5-386-13447-1</t>
  </si>
  <si>
    <t>9785386134471</t>
  </si>
  <si>
    <t>Невинные инквизиторы. Джордж Оруэлл и политическая антропология</t>
  </si>
  <si>
    <t xml:space="preserve">8606860             </t>
  </si>
  <si>
    <t>Полумир</t>
  </si>
  <si>
    <t>Восхождение Рэнсом сити: роман. Гилман Ф.</t>
  </si>
  <si>
    <t>Гилман Ф.</t>
  </si>
  <si>
    <t>978-5-386-10580-8</t>
  </si>
  <si>
    <t>9785386105808</t>
  </si>
  <si>
    <t>Восхождение Рэнсом сити: роман</t>
  </si>
  <si>
    <t xml:space="preserve">11224810            </t>
  </si>
  <si>
    <t>Поэзия для души</t>
  </si>
  <si>
    <t>Вы мне нравитесь, взрослая женщина. Рубальская Л.А.</t>
  </si>
  <si>
    <t>Рубальская Л.А.</t>
  </si>
  <si>
    <t>978-5-386-15176-8</t>
  </si>
  <si>
    <t>9785386151768</t>
  </si>
  <si>
    <t>Вы мне нравитесь, взрослая женщина</t>
  </si>
  <si>
    <t xml:space="preserve">10845060            </t>
  </si>
  <si>
    <t>На краю осени: стихи. Рубальская Л.А.</t>
  </si>
  <si>
    <t>978-5-386-14988-8</t>
  </si>
  <si>
    <t>9785386149888</t>
  </si>
  <si>
    <t>На краю осени: стихи</t>
  </si>
  <si>
    <t xml:space="preserve">9733320             </t>
  </si>
  <si>
    <t>Поэтический Парнас</t>
  </si>
  <si>
    <t>Да будет день!. Цветаева М.И.</t>
  </si>
  <si>
    <t>Цветаева М.И.</t>
  </si>
  <si>
    <t>978-5-386-14342-8</t>
  </si>
  <si>
    <t>9785386143428</t>
  </si>
  <si>
    <t>Да будет день!</t>
  </si>
  <si>
    <t xml:space="preserve">9733300             </t>
  </si>
  <si>
    <t>Жемчужины любовной лирики. Сост. Филиппов А.</t>
  </si>
  <si>
    <t>Сост. Филиппов А.</t>
  </si>
  <si>
    <t>978-5-386-14363-3</t>
  </si>
  <si>
    <t>9785386143633</t>
  </si>
  <si>
    <t>Жемчужины любовной лирики</t>
  </si>
  <si>
    <t xml:space="preserve">9734040             </t>
  </si>
  <si>
    <t>Жемчужины русской поэзии. (начало - середина XIX века). Сост. Филиппов А.</t>
  </si>
  <si>
    <t>978-5-386-14345-9</t>
  </si>
  <si>
    <t>9785386143459</t>
  </si>
  <si>
    <t>Жемчужины русской поэзии. (начало - середина XIX века)</t>
  </si>
  <si>
    <t xml:space="preserve">9750250             </t>
  </si>
  <si>
    <t>Мудрость бытия. Омар Хайям</t>
  </si>
  <si>
    <t>Омар Хайям</t>
  </si>
  <si>
    <t>978-5-386-14378-7</t>
  </si>
  <si>
    <t>9785386143787</t>
  </si>
  <si>
    <t>Мудрость бытия</t>
  </si>
  <si>
    <t>245449</t>
  </si>
  <si>
    <t>Практика домашней кулинарии</t>
  </si>
  <si>
    <t>Мультиварка. Выпечка. Полная книга рецептов. Грачевская О.А.</t>
  </si>
  <si>
    <t>Грачевская О.А.</t>
  </si>
  <si>
    <t>978-5-386-07167-7</t>
  </si>
  <si>
    <t>9785386071677</t>
  </si>
  <si>
    <t xml:space="preserve">524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</si>
  <si>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Выпечка                                                                                                                         </t>
  </si>
  <si>
    <t>Мультиварка. Выпечка. Полная книга рецептов</t>
  </si>
  <si>
    <t>Выпечка. Десерты</t>
  </si>
  <si>
    <t xml:space="preserve">7199580             </t>
  </si>
  <si>
    <t>Веселые истории про Петрова и Васечкина. Алеников В.М.</t>
  </si>
  <si>
    <t>978-5-386-08827-9</t>
  </si>
  <si>
    <t>9785386088279</t>
  </si>
  <si>
    <t>Веселые истории про Петрова и Васечкина</t>
  </si>
  <si>
    <t xml:space="preserve">9565540             </t>
  </si>
  <si>
    <t>Примавера</t>
  </si>
  <si>
    <t>К черту все, иду молиться!. Енникова Е.</t>
  </si>
  <si>
    <t>Енникова Е.</t>
  </si>
  <si>
    <t>978-5-386-13877-6</t>
  </si>
  <si>
    <t>9785386138776</t>
  </si>
  <si>
    <t>К черту все, иду молиться!</t>
  </si>
  <si>
    <t xml:space="preserve">9560760             </t>
  </si>
  <si>
    <t>Природный целитель</t>
  </si>
  <si>
    <t>Волшебники здоровья. Глина, шунгит, соль. Уникальное практическое руководство. Сост. Николаева Ю.Н.</t>
  </si>
  <si>
    <t>Сост. Николаева Ю.Н.</t>
  </si>
  <si>
    <t>978-5-386-13844-8</t>
  </si>
  <si>
    <t>9785386138448</t>
  </si>
  <si>
    <t>Волшебники здоровья. Глина, шунгит, соль. Уникальное практическое руководство</t>
  </si>
  <si>
    <t xml:space="preserve">9595910             </t>
  </si>
  <si>
    <t>Диета долгожителя. Вегетарианская кухня. Нестерова Д.В.</t>
  </si>
  <si>
    <t>Нестерова Д.В.</t>
  </si>
  <si>
    <t>978-5-386-13914-8</t>
  </si>
  <si>
    <t>9785386139148</t>
  </si>
  <si>
    <t>Диета долгожителя. Вегетарианская кухня</t>
  </si>
  <si>
    <t xml:space="preserve">9563580             </t>
  </si>
  <si>
    <t>Молодая кровь. Квашеная капуста, луковая шелуха, хрен. Уникальное практическое руководство. Сост. Николаева Ю.Н.</t>
  </si>
  <si>
    <t>978-5-386-13845-5</t>
  </si>
  <si>
    <t>9785386138455</t>
  </si>
  <si>
    <t>Молодая кровь. Квашеная капуста, луковая шелуха, хрен. Уникальное практическое руководство</t>
  </si>
  <si>
    <t xml:space="preserve">9556020             </t>
  </si>
  <si>
    <t>Природные чудо-целители. Календула, алоэ, бадан. Уникальное практическое руководство. Сост. Николаева Ю.Н.</t>
  </si>
  <si>
    <t>978-5-386-13847-9</t>
  </si>
  <si>
    <t>9785386138479</t>
  </si>
  <si>
    <t>Природные чудо-целители. Календула, алоэ, бадан. Уникальное практическое руководство</t>
  </si>
  <si>
    <t>Гомеопатия. Фитотерапия. Ароматерапия</t>
  </si>
  <si>
    <t xml:space="preserve">9594410             </t>
  </si>
  <si>
    <t>Самые ценные плоды для здоровья. Ягоды годжи. Исцеление и долголетие. Сост. Николаева Ю.Н.</t>
  </si>
  <si>
    <t>978-5-386-13915-5</t>
  </si>
  <si>
    <t>9785386139155</t>
  </si>
  <si>
    <t>Самые ценные плоды для здоровья. Ягоды годжи. Исцеление и долголетие</t>
  </si>
  <si>
    <t xml:space="preserve">9868390             </t>
  </si>
  <si>
    <t>Притчи</t>
  </si>
  <si>
    <t>Мифы и притчи классической древности. От Эллады до Иудейского царства, от Индии до Тибета. Шваб Г.Б.</t>
  </si>
  <si>
    <t>Шваб Г.Б.</t>
  </si>
  <si>
    <t>978-5-386-14453-1</t>
  </si>
  <si>
    <t>9785386144531</t>
  </si>
  <si>
    <t>Мифы и притчи классической древности. От Эллады до Иудейского царства, от Индии до Тибета</t>
  </si>
  <si>
    <t>Мифы. Легенды. Эпос</t>
  </si>
  <si>
    <t xml:space="preserve">10168880            </t>
  </si>
  <si>
    <t>Серебряная легенда. Стогов И. Ю.</t>
  </si>
  <si>
    <t>Стогов И. Ю.</t>
  </si>
  <si>
    <t>978-5-386-14529-3</t>
  </si>
  <si>
    <t>9785386145293</t>
  </si>
  <si>
    <t>Серебряная легенда</t>
  </si>
  <si>
    <t xml:space="preserve">11951390            </t>
  </si>
  <si>
    <t>Про/За</t>
  </si>
  <si>
    <t>Мелодия моего мятежа. Цвек Х.</t>
  </si>
  <si>
    <t>Цвек Х.</t>
  </si>
  <si>
    <t>978-5-386-15538-4</t>
  </si>
  <si>
    <t>9785386155384</t>
  </si>
  <si>
    <t>Мелодия моего мятежа</t>
  </si>
  <si>
    <t xml:space="preserve">12062920            </t>
  </si>
  <si>
    <t>Про/За. Бунт за право быть собой</t>
  </si>
  <si>
    <t>Южный ветер дует на север. Монастырская Ю.</t>
  </si>
  <si>
    <t>Монастырская Ю.</t>
  </si>
  <si>
    <t>978-5-386-15574-2</t>
  </si>
  <si>
    <t>9785386155742</t>
  </si>
  <si>
    <t>Южный ветер дует на север</t>
  </si>
  <si>
    <t xml:space="preserve">11149030            </t>
  </si>
  <si>
    <t>Прогноз на каждый день</t>
  </si>
  <si>
    <t>Цифровой прогноз по системе Александрова. 2024 год. Каждый день уникален. Александрова А.</t>
  </si>
  <si>
    <t>Александрова А.</t>
  </si>
  <si>
    <t>978-5-386-15109-6</t>
  </si>
  <si>
    <t>9785386151096</t>
  </si>
  <si>
    <t>Цифровой прогноз по системе Александрова. 2024 год. Каждый день уникален</t>
  </si>
  <si>
    <t>11212630</t>
  </si>
  <si>
    <t>Проект Алексея Ситникова</t>
  </si>
  <si>
    <t>KARMACOACH + KARMALOGIC. Краткая версия (комплект из 2-х книг). Ситников А.П.</t>
  </si>
  <si>
    <t>978-5-521-82134-1</t>
  </si>
  <si>
    <t>9785521821341</t>
  </si>
  <si>
    <t>KARMACOACH + KARMALOGIC. Краткая версия (комплект из 2-х книг)</t>
  </si>
  <si>
    <t xml:space="preserve">11157970            </t>
  </si>
  <si>
    <t>KARMACOACH. Краткая версия. Ситников А.П.</t>
  </si>
  <si>
    <t>978-5-386-15142-3</t>
  </si>
  <si>
    <t>9785386151423</t>
  </si>
  <si>
    <t>KARMACOACH. Краткая версия</t>
  </si>
  <si>
    <t xml:space="preserve">11069060            </t>
  </si>
  <si>
    <t>KARMACOACH. Ситников А.П.</t>
  </si>
  <si>
    <t>978-5-386-15107-2</t>
  </si>
  <si>
    <t>9785386151072</t>
  </si>
  <si>
    <t>KARMACOACH</t>
  </si>
  <si>
    <t>11372580</t>
  </si>
  <si>
    <t>Karmalogic + Karmacoach + Karmamagic (комплект из 3-х книг). Ситников А.П.</t>
  </si>
  <si>
    <t>978-5-521-82854-8</t>
  </si>
  <si>
    <t>9785521828548</t>
  </si>
  <si>
    <t>Karmalogic + Karmacoach + Karmamagic (комплект из 3-х книг)</t>
  </si>
  <si>
    <t xml:space="preserve">8435090             </t>
  </si>
  <si>
    <t>KARMALOGIC + вкладыш. Ситников А.П.</t>
  </si>
  <si>
    <t>978-5-386-10461-0</t>
  </si>
  <si>
    <t>9785386104610</t>
  </si>
  <si>
    <t>KARMALOGIC + вкладыш</t>
  </si>
  <si>
    <t>Психологические школы и направления</t>
  </si>
  <si>
    <t xml:space="preserve">11421040            </t>
  </si>
  <si>
    <t>Karmalogic для детей. Приключения в Кармашкино. Ситников А.П.</t>
  </si>
  <si>
    <t>978-5-386-15231-4</t>
  </si>
  <si>
    <t>9785386152314</t>
  </si>
  <si>
    <t>Karmalogic для детей. Приключения в Кармашкино</t>
  </si>
  <si>
    <t xml:space="preserve">9349250             </t>
  </si>
  <si>
    <t>KARMALOGIC. Краткая версия (обл.). Ситников А.П.</t>
  </si>
  <si>
    <t>978-5-386-13590-4</t>
  </si>
  <si>
    <t>9785386135904</t>
  </si>
  <si>
    <t>KARMALOGIC. Краткая версия (обл.)</t>
  </si>
  <si>
    <t xml:space="preserve">8723820             </t>
  </si>
  <si>
    <t>KARMALOGIC. Краткая версия (пер.). Ситников А.П.</t>
  </si>
  <si>
    <t>978-5-386-12057-3</t>
  </si>
  <si>
    <t>9785386120573</t>
  </si>
  <si>
    <t>KARMALOGIC. Краткая версия (пер.)</t>
  </si>
  <si>
    <t xml:space="preserve">11775340            </t>
  </si>
  <si>
    <t>KARMALOGIC. Краткая версия. Ситников А.П.</t>
  </si>
  <si>
    <t>978-5-386-15419-6</t>
  </si>
  <si>
    <t>9785386154196</t>
  </si>
  <si>
    <t>KARMALOGIC. Краткая версия</t>
  </si>
  <si>
    <t>11144140</t>
  </si>
  <si>
    <t>KARMALOGIC+KARMACOACH - Проект Ситникова. В 2-х т. Ситников А.П.</t>
  </si>
  <si>
    <t>978-5-521-80861-8</t>
  </si>
  <si>
    <t>9785521808618</t>
  </si>
  <si>
    <t>KARMALOGIC+KARMACOACH - Проект Ситникова. В 2-х т</t>
  </si>
  <si>
    <t xml:space="preserve">11436410            </t>
  </si>
  <si>
    <t>KARMAMAGIC. Краткая версия (обл.). Ситников А.П.</t>
  </si>
  <si>
    <t>978-5-386-15290-1</t>
  </si>
  <si>
    <t>9785386152901</t>
  </si>
  <si>
    <t>KARMAMAGIC. Краткая версия (обл.)</t>
  </si>
  <si>
    <t xml:space="preserve">11316950            </t>
  </si>
  <si>
    <t>KARMAMAGIC. Ситников А.П.</t>
  </si>
  <si>
    <t>978-5-386-15201-7</t>
  </si>
  <si>
    <t>9785386152017</t>
  </si>
  <si>
    <t>KARMAMAGIC</t>
  </si>
  <si>
    <t xml:space="preserve">11184820            </t>
  </si>
  <si>
    <t>Проза XXI</t>
  </si>
  <si>
    <t>Далеко и близко. Лагутина Л.</t>
  </si>
  <si>
    <t>Лагутина Л.</t>
  </si>
  <si>
    <t>978-5-386-15096-9</t>
  </si>
  <si>
    <t>9785386150969</t>
  </si>
  <si>
    <t>Далеко и близко</t>
  </si>
  <si>
    <t xml:space="preserve">8969400             </t>
  </si>
  <si>
    <t>Проза толстых литературных журналов</t>
  </si>
  <si>
    <t>Варшава, Элохим!: роман. Леонтьев А.</t>
  </si>
  <si>
    <t>Леонтьев А.</t>
  </si>
  <si>
    <t>978-5-386-12504-2</t>
  </si>
  <si>
    <t>9785386125042</t>
  </si>
  <si>
    <t>Варшава, Элохим!: роман</t>
  </si>
  <si>
    <t xml:space="preserve">9670350             </t>
  </si>
  <si>
    <t>Прости за любовь</t>
  </si>
  <si>
    <t>Три метра над небом: Я тебя хочу: роман. Моччиа Ф.</t>
  </si>
  <si>
    <t>978-5-386-14067-0</t>
  </si>
  <si>
    <t>9785386140670</t>
  </si>
  <si>
    <t>Три метра над небом: Я тебя хочу: роман</t>
  </si>
  <si>
    <t xml:space="preserve">9950650             </t>
  </si>
  <si>
    <t>Тысяча ночей без тебя. Моччиа Ф.</t>
  </si>
  <si>
    <t>978-5-386-14530-9</t>
  </si>
  <si>
    <t>9785386145309</t>
  </si>
  <si>
    <t>Тысяча ночей без тебя</t>
  </si>
  <si>
    <t xml:space="preserve">9793360             </t>
  </si>
  <si>
    <t>Человек, который не хотел любить. Моччиа Ф.</t>
  </si>
  <si>
    <t>978-5-386-14356-5</t>
  </si>
  <si>
    <t>9785386143565</t>
  </si>
  <si>
    <t>Человек, который не хотел любить</t>
  </si>
  <si>
    <t xml:space="preserve">9437230             </t>
  </si>
  <si>
    <t>Психоматрица Александрова</t>
  </si>
  <si>
    <t>Мужчина и женщина от 0 до 999. Практическое руководство по трансформации отношений. Александров А.Ф.</t>
  </si>
  <si>
    <t>978-5-386-13723-6</t>
  </si>
  <si>
    <t>9785386137236</t>
  </si>
  <si>
    <t>Мужчина и женщина от 0 до 999. Практическое руководство по трансформации отношений</t>
  </si>
  <si>
    <t xml:space="preserve">10739190            </t>
  </si>
  <si>
    <t>Резус-фактор</t>
  </si>
  <si>
    <t>Красная зона. Убогий А.Ю</t>
  </si>
  <si>
    <t>Убогий А.Ю</t>
  </si>
  <si>
    <t>978-5-386-14938-3</t>
  </si>
  <si>
    <t>9785386149383</t>
  </si>
  <si>
    <t>Красная зона</t>
  </si>
  <si>
    <t xml:space="preserve">9086280             </t>
  </si>
  <si>
    <t>Рипол-классик</t>
  </si>
  <si>
    <t>978-5-386-12509-7</t>
  </si>
  <si>
    <t>9785386125097</t>
  </si>
  <si>
    <t xml:space="preserve">9091300             </t>
  </si>
  <si>
    <t>Книга Дины: роман. Вассму Х.</t>
  </si>
  <si>
    <t>978-5-386-12523-3</t>
  </si>
  <si>
    <t>9785386125233</t>
  </si>
  <si>
    <t>Книга Дины: роман</t>
  </si>
  <si>
    <t xml:space="preserve">9243670             </t>
  </si>
  <si>
    <t>Рождественская история</t>
  </si>
  <si>
    <t>Рождественский ужин духов. Монтгомери Р.</t>
  </si>
  <si>
    <t>Монтгомери Р.</t>
  </si>
  <si>
    <t>978-5-386-13548-5</t>
  </si>
  <si>
    <t>9785386135485</t>
  </si>
  <si>
    <t>Рождественский ужин духов</t>
  </si>
  <si>
    <t xml:space="preserve">9102530             </t>
  </si>
  <si>
    <t>Рождественские книги</t>
  </si>
  <si>
    <t xml:space="preserve">Рождественская книга ангелов: Сборник. </t>
  </si>
  <si>
    <t>978-5-386-12747-3</t>
  </si>
  <si>
    <t>9785386127473</t>
  </si>
  <si>
    <t>Рождественская книга ангелов: Сборник</t>
  </si>
  <si>
    <t xml:space="preserve">9378320             </t>
  </si>
  <si>
    <t>Роковая Фемида. Романы Александра Звягинцева</t>
  </si>
  <si>
    <t>Суд народов. Звягинцев А.Г.</t>
  </si>
  <si>
    <t>978-5-386-13675-8</t>
  </si>
  <si>
    <t>9785386136758</t>
  </si>
  <si>
    <t>Суд народов</t>
  </si>
  <si>
    <t xml:space="preserve">10369150            </t>
  </si>
  <si>
    <t>Романтическая комедия</t>
  </si>
  <si>
    <t>Терпкость вишни: роман. Сова И.</t>
  </si>
  <si>
    <t>Сова И.</t>
  </si>
  <si>
    <t>978-5-386-12898-2</t>
  </si>
  <si>
    <t>9785386128982</t>
  </si>
  <si>
    <t>Терпкость вишни: роман</t>
  </si>
  <si>
    <t xml:space="preserve">10369140            </t>
  </si>
  <si>
    <t>Романтический травелог</t>
  </si>
  <si>
    <t>Вкус свежей малины: роман. Сова И.</t>
  </si>
  <si>
    <t>978-5-386-12884-5</t>
  </si>
  <si>
    <t>9785386128845</t>
  </si>
  <si>
    <t>Вкус свежей малины: роман</t>
  </si>
  <si>
    <t xml:space="preserve">9561480             </t>
  </si>
  <si>
    <t>Романы Александра Звягинцева</t>
  </si>
  <si>
    <t>Вернуться, чтобы уйти. Рассказы и повести. Звягинцев А.Г.</t>
  </si>
  <si>
    <t>978-5-386-13838-7</t>
  </si>
  <si>
    <t>9785386138387</t>
  </si>
  <si>
    <t>Вернуться, чтобы уйти. Рассказы и повести</t>
  </si>
  <si>
    <t xml:space="preserve">10455700            </t>
  </si>
  <si>
    <t>Сармат. Группа первая, RH(+). Звягинцев А.Г.</t>
  </si>
  <si>
    <t>978-5-386-14726-6</t>
  </si>
  <si>
    <t>9785386147266</t>
  </si>
  <si>
    <t>Сармат. Группа первая, RH(+)</t>
  </si>
  <si>
    <t>Боевики</t>
  </si>
  <si>
    <t xml:space="preserve">10416050            </t>
  </si>
  <si>
    <t>Романы Александра Звягинцева (новое оформление)</t>
  </si>
  <si>
    <t>Операция "Империал". Звягинцев А.Г.</t>
  </si>
  <si>
    <t>978-5-386-14697-9</t>
  </si>
  <si>
    <t>9785386146979</t>
  </si>
  <si>
    <t>Операция "Империал"</t>
  </si>
  <si>
    <t xml:space="preserve">10409620            </t>
  </si>
  <si>
    <t>Память осени. Звягинцев А.Г.</t>
  </si>
  <si>
    <t>978-5-386-14698-6</t>
  </si>
  <si>
    <t>9785386146986</t>
  </si>
  <si>
    <t>Память осени</t>
  </si>
  <si>
    <t xml:space="preserve">10425850            </t>
  </si>
  <si>
    <t>Принуждение к любви. Звягинцев А.Г.</t>
  </si>
  <si>
    <t>978-5-386-14699-3</t>
  </si>
  <si>
    <t>9785386146993</t>
  </si>
  <si>
    <t>Принуждение к любви</t>
  </si>
  <si>
    <t xml:space="preserve">8441870             </t>
  </si>
  <si>
    <t>Романы Виктора Доценко</t>
  </si>
  <si>
    <t>Золото Бешеного. Доценко В.</t>
  </si>
  <si>
    <t>978-5-386-10484-9</t>
  </si>
  <si>
    <t>9785386104849</t>
  </si>
  <si>
    <t>Золото Бешеного</t>
  </si>
  <si>
    <t xml:space="preserve">11003180            </t>
  </si>
  <si>
    <t>Русская классика</t>
  </si>
  <si>
    <t>Белая гвардия: роман. Булгаков М.А</t>
  </si>
  <si>
    <t>Булгаков М.А</t>
  </si>
  <si>
    <t>978-5-386-14970-3</t>
  </si>
  <si>
    <t>9785386149703</t>
  </si>
  <si>
    <t>Белая гвардия: роман</t>
  </si>
  <si>
    <t xml:space="preserve">11022610            </t>
  </si>
  <si>
    <t>Гиперболоид инженера Гарина. Аэлита. Толстой А.Н.</t>
  </si>
  <si>
    <t>Толстой А.Н.</t>
  </si>
  <si>
    <t>978-5-386-15013-6</t>
  </si>
  <si>
    <t>9785386150136</t>
  </si>
  <si>
    <t>Гиперболоид инженера Гарина. Аэлита</t>
  </si>
  <si>
    <t xml:space="preserve">11022620            </t>
  </si>
  <si>
    <t>Граф Калиостро. Повести и рассказы. Толстой А.Н.</t>
  </si>
  <si>
    <t>978-5-386-15019-8</t>
  </si>
  <si>
    <t>9785386150198</t>
  </si>
  <si>
    <t>Граф Калиостро. Повести и рассказы</t>
  </si>
  <si>
    <t xml:space="preserve">11079440            </t>
  </si>
  <si>
    <t>Петр Первый: В 2 кн. (комплект из 2-х кн.). Толстой А.Н.</t>
  </si>
  <si>
    <t>978-5-386-15095-2</t>
  </si>
  <si>
    <t>9785386150952</t>
  </si>
  <si>
    <t>Петр Первый: В 2 кн. (комплект из 2-х кн.)</t>
  </si>
  <si>
    <t xml:space="preserve">11004000            </t>
  </si>
  <si>
    <t>Собачье сердце: повести. Булгаков М.А</t>
  </si>
  <si>
    <t>978-5-386-14972-7</t>
  </si>
  <si>
    <t>9785386149727</t>
  </si>
  <si>
    <t>Собачье сердце: повести</t>
  </si>
  <si>
    <t xml:space="preserve">11079410            </t>
  </si>
  <si>
    <t>Хождение по мукам в 3-х кн : Кн. 1: Сестры; Кн. 2: Восемнадцатый год; Кн. 3: Хмурое утро. Толстой А.Н.</t>
  </si>
  <si>
    <t>978-5-386-15094-5</t>
  </si>
  <si>
    <t>9785386150945</t>
  </si>
  <si>
    <t>Хождение по мукам в 3-х кн : Кн. 1: Сестры; Кн. 2: Восемнадцатый год; Кн. 3: Хмурое утро</t>
  </si>
  <si>
    <t xml:space="preserve">8375170             </t>
  </si>
  <si>
    <t>Русские беседы</t>
  </si>
  <si>
    <t>Русские беседы: лица и ситуации. Тесля А.А.</t>
  </si>
  <si>
    <t>Тесля А.А.</t>
  </si>
  <si>
    <t>978-5-386-10404-7</t>
  </si>
  <si>
    <t>9785386104047</t>
  </si>
  <si>
    <t>Русские беседы: лица и ситуации</t>
  </si>
  <si>
    <t xml:space="preserve">8858980             </t>
  </si>
  <si>
    <t>Рядом с тобой</t>
  </si>
  <si>
    <t>Вероятно, Алекс: роман. Беннет Дж.</t>
  </si>
  <si>
    <t>978-5-386-12103-7</t>
  </si>
  <si>
    <t>9785386121037</t>
  </si>
  <si>
    <t>Вероятно, Алекс: роман</t>
  </si>
  <si>
    <t xml:space="preserve">8987000             </t>
  </si>
  <si>
    <t>Лайкни меня: роман. Кунер Д.</t>
  </si>
  <si>
    <t>978-5-386-10486-3</t>
  </si>
  <si>
    <t>9785386104863</t>
  </si>
  <si>
    <t>Лайкни меня: роман</t>
  </si>
  <si>
    <t xml:space="preserve">8989680             </t>
  </si>
  <si>
    <t>978-5-386-12482-3</t>
  </si>
  <si>
    <t>9785386124823</t>
  </si>
  <si>
    <t xml:space="preserve">11062610            </t>
  </si>
  <si>
    <t>Сакральные тексты</t>
  </si>
  <si>
    <t>Битвы на атласных простынях. Святость, эрос и плоть в Китае. 2-е изд., испр.и доп. Маслов А.А.</t>
  </si>
  <si>
    <t>978-5-386-14960-4</t>
  </si>
  <si>
    <t>9785386149604</t>
  </si>
  <si>
    <t>Битвы на атласных простынях. Святость, эрос и плоть в Китае. 2-е изд., испр.и доп</t>
  </si>
  <si>
    <t>Восточная философия</t>
  </si>
  <si>
    <t xml:space="preserve">11498970            </t>
  </si>
  <si>
    <t>Пространство священного в Китае: маги, мудрецы и бессмертные. Маслов А.А.</t>
  </si>
  <si>
    <t>978-5-386-15352-6</t>
  </si>
  <si>
    <t>9785386153526</t>
  </si>
  <si>
    <t>Пространство священного в Китае: маги, мудрецы и бессмертные</t>
  </si>
  <si>
    <t xml:space="preserve">11679850            </t>
  </si>
  <si>
    <t>Сеанс&amp;Рипол</t>
  </si>
  <si>
    <t>Феллини. Сост. Степанов В.</t>
  </si>
  <si>
    <t>Сост. Степанов В.</t>
  </si>
  <si>
    <t>978-5-386-15392-2</t>
  </si>
  <si>
    <t>9785386153922</t>
  </si>
  <si>
    <t>Феллини</t>
  </si>
  <si>
    <t xml:space="preserve">11679640            </t>
  </si>
  <si>
    <t>Хичкок. Сост. Степанов В.</t>
  </si>
  <si>
    <t>978-5-386-15391-5</t>
  </si>
  <si>
    <t>9785386153915</t>
  </si>
  <si>
    <t>Хичкок</t>
  </si>
  <si>
    <t xml:space="preserve">8917380             </t>
  </si>
  <si>
    <t>Сезонная коллекция. Зима</t>
  </si>
  <si>
    <t>Печенье на солоде. Санди Л.</t>
  </si>
  <si>
    <t>Санди Л.</t>
  </si>
  <si>
    <t>978-5-386-12428-1</t>
  </si>
  <si>
    <t>9785386124281</t>
  </si>
  <si>
    <t>Печенье на солоде</t>
  </si>
  <si>
    <t xml:space="preserve">11498740            </t>
  </si>
  <si>
    <t>Секретные дневники Улисса Мура</t>
  </si>
  <si>
    <t>В жерле вулкана. Кн. 11. Улисс Мур</t>
  </si>
  <si>
    <t>978-5-386-15331-1</t>
  </si>
  <si>
    <t>9785386153311</t>
  </si>
  <si>
    <t>В жерле вулкана. Кн. 11</t>
  </si>
  <si>
    <t xml:space="preserve">11498750            </t>
  </si>
  <si>
    <t>Властелин молний. Кн. 8. Улисс Мур</t>
  </si>
  <si>
    <t>978-5-386-15327-4</t>
  </si>
  <si>
    <t>9785386153274</t>
  </si>
  <si>
    <t>Властелин молний. Кн. 8</t>
  </si>
  <si>
    <t xml:space="preserve">11496590            </t>
  </si>
  <si>
    <t>Затерянный город. Кн. 7. Улисс Мур</t>
  </si>
  <si>
    <t>978-5-386-15326-7</t>
  </si>
  <si>
    <t>9785386153267</t>
  </si>
  <si>
    <t>Затерянный город. Кн. 7</t>
  </si>
  <si>
    <t xml:space="preserve">11496610            </t>
  </si>
  <si>
    <t>Клуб путешественников-фантазеров. Кн. 12. Улисс Мур</t>
  </si>
  <si>
    <t>978-5-386-15332-8</t>
  </si>
  <si>
    <t>9785386153328</t>
  </si>
  <si>
    <t>Клуб путешественников-фантазеров. Кн. 12</t>
  </si>
  <si>
    <t xml:space="preserve">11496600            </t>
  </si>
  <si>
    <t>Лабиринт теней. Кн. 9. Улисс Мур</t>
  </si>
  <si>
    <t>978-5-386-15329-8</t>
  </si>
  <si>
    <t>9785386153298</t>
  </si>
  <si>
    <t>Лабиринт теней. Кн. 9</t>
  </si>
  <si>
    <t xml:space="preserve">11468020            </t>
  </si>
  <si>
    <t>Лавка забытых карт. Кн. 2. Улисс Мур</t>
  </si>
  <si>
    <t>978-5-386-15304-5</t>
  </si>
  <si>
    <t>9785386153045</t>
  </si>
  <si>
    <t>Лавка забытых карт. Кн. 2</t>
  </si>
  <si>
    <t xml:space="preserve">11498710            </t>
  </si>
  <si>
    <t>Ледяная страна. Кн. 10. Улисс Мур</t>
  </si>
  <si>
    <t>978-5-386-15330-4</t>
  </si>
  <si>
    <t>9785386153304</t>
  </si>
  <si>
    <t>Ледяная страна. Кн. 10</t>
  </si>
  <si>
    <t xml:space="preserve">11468030            </t>
  </si>
  <si>
    <t>Остров масок. Кн. 4. Улисс Мур</t>
  </si>
  <si>
    <t>978-5-386-15306-9</t>
  </si>
  <si>
    <t>9785386153069</t>
  </si>
  <si>
    <t>Остров масок. Кн. 4</t>
  </si>
  <si>
    <t xml:space="preserve">9868400             </t>
  </si>
  <si>
    <t>Секретные материалы</t>
  </si>
  <si>
    <t>Избранный выжить. Эйнхорн Е.</t>
  </si>
  <si>
    <t>Эйнхорн Е.</t>
  </si>
  <si>
    <t>978-5-386-14456-2</t>
  </si>
  <si>
    <t>9785386144562</t>
  </si>
  <si>
    <t>Избранный выжить</t>
  </si>
  <si>
    <t xml:space="preserve">10765760            </t>
  </si>
  <si>
    <t>978-5-386-14957-4</t>
  </si>
  <si>
    <t>9785386149574</t>
  </si>
  <si>
    <t xml:space="preserve">9862210             </t>
  </si>
  <si>
    <t>Тайны закрытых городов. Кутепова Н.</t>
  </si>
  <si>
    <t>Кутепова Н.</t>
  </si>
  <si>
    <t>978-5-386-14469-2</t>
  </si>
  <si>
    <t>9785386144692</t>
  </si>
  <si>
    <t>Тайны закрытых городов</t>
  </si>
  <si>
    <t xml:space="preserve">11163690            </t>
  </si>
  <si>
    <t>Секреты профессии</t>
  </si>
  <si>
    <t>Свой почерк в режиссуре. Алеников В.М.</t>
  </si>
  <si>
    <t>978-5-386-15143-0</t>
  </si>
  <si>
    <t>9785386151430</t>
  </si>
  <si>
    <t>Свой почерк в режиссуре</t>
  </si>
  <si>
    <t xml:space="preserve">10765580            </t>
  </si>
  <si>
    <t>Секреты счастливой жизни</t>
  </si>
  <si>
    <t>100 причин быть счастливой. Рой О.Ю.</t>
  </si>
  <si>
    <t>978-5-386-14962-8</t>
  </si>
  <si>
    <t>9785386149628</t>
  </si>
  <si>
    <t>100 причин быть счастливой</t>
  </si>
  <si>
    <t xml:space="preserve">10544240            </t>
  </si>
  <si>
    <t>99 советов о счастливой жизни. Рой О.Ю.</t>
  </si>
  <si>
    <t>978-5-386-14876-8</t>
  </si>
  <si>
    <t>9785386148768</t>
  </si>
  <si>
    <t>99 советов о счастливой жизни</t>
  </si>
  <si>
    <t xml:space="preserve">10043460            </t>
  </si>
  <si>
    <t>Женщинам о мужчинах. Рой О.Ю.</t>
  </si>
  <si>
    <t>978-5-386-14582-8</t>
  </si>
  <si>
    <t>9785386145828</t>
  </si>
  <si>
    <t>Женщинам о мужчинах</t>
  </si>
  <si>
    <t xml:space="preserve">10043450            </t>
  </si>
  <si>
    <t>Мужчинам о женщинах. Рой О.Ю.</t>
  </si>
  <si>
    <t>978-5-386-14583-5</t>
  </si>
  <si>
    <t>9785386145835</t>
  </si>
  <si>
    <t>Мужчинам о женщинах</t>
  </si>
  <si>
    <t xml:space="preserve">11159450            </t>
  </si>
  <si>
    <t>О любви и не только. Рой О.Ю.</t>
  </si>
  <si>
    <t>978-5-386-15148-5</t>
  </si>
  <si>
    <t>9785386151485</t>
  </si>
  <si>
    <t>О любви и не только</t>
  </si>
  <si>
    <t xml:space="preserve">11951430            </t>
  </si>
  <si>
    <t>Семейный компас</t>
  </si>
  <si>
    <t>Семейный текст. Как писать вместе и становиться ближе. Сорокин А.А.</t>
  </si>
  <si>
    <t>Сорокин А.А.</t>
  </si>
  <si>
    <t>978-5-386-15541-4</t>
  </si>
  <si>
    <t>9785386155414</t>
  </si>
  <si>
    <t>Семейный текст. Как писать вместе и становиться ближе</t>
  </si>
  <si>
    <t xml:space="preserve">10889270            </t>
  </si>
  <si>
    <t>Семь</t>
  </si>
  <si>
    <t>Ловушка для влюбленных. Рой О.Ю.</t>
  </si>
  <si>
    <t>978-5-386-15012-9</t>
  </si>
  <si>
    <t>9785386150129</t>
  </si>
  <si>
    <t>Ловушка для влюбленных</t>
  </si>
  <si>
    <t xml:space="preserve">9930390             </t>
  </si>
  <si>
    <t>Порог. Рой О.Ю.</t>
  </si>
  <si>
    <t>978-5-386-14498-2</t>
  </si>
  <si>
    <t>9785386144982</t>
  </si>
  <si>
    <t>Порог</t>
  </si>
  <si>
    <t xml:space="preserve">11375230            </t>
  </si>
  <si>
    <t>Семь. Рой О.Ю.</t>
  </si>
  <si>
    <t>978-5-386-15228-4</t>
  </si>
  <si>
    <t>9785386152284</t>
  </si>
  <si>
    <t xml:space="preserve">10410890            </t>
  </si>
  <si>
    <t>Старьевщица: роман. Рой О.Ю.</t>
  </si>
  <si>
    <t>978-5-386-14759-4</t>
  </si>
  <si>
    <t>9785386147594</t>
  </si>
  <si>
    <t>Старьевщица: роман</t>
  </si>
  <si>
    <t xml:space="preserve">10560550            </t>
  </si>
  <si>
    <t>Сюжет. Рой О.Ю.</t>
  </si>
  <si>
    <t>978-5-386-14877-5</t>
  </si>
  <si>
    <t>9785386148775</t>
  </si>
  <si>
    <t>Сюжет</t>
  </si>
  <si>
    <t xml:space="preserve">11951450            </t>
  </si>
  <si>
    <t>Сила жизни</t>
  </si>
  <si>
    <t>Мама, хорошо, что у тебя рак. Когда рак становится не приговором, а началом настоящей жизни. Быковская С</t>
  </si>
  <si>
    <t>Быковская С</t>
  </si>
  <si>
    <t>978-5-386-15556-8</t>
  </si>
  <si>
    <t>9785386155568</t>
  </si>
  <si>
    <t>Мама, хорошо, что у тебя рак. Когда рак становится не приговором, а началом настоящей жизни</t>
  </si>
  <si>
    <t xml:space="preserve">8018250             </t>
  </si>
  <si>
    <t>Символы эпохи. Проза толстых литературных журналов</t>
  </si>
  <si>
    <t>Дождь в разрезе. Афлатуни С. (Абдуллаев Е.В.</t>
  </si>
  <si>
    <t>Афлатуни С. (Абдуллаев Е.В.)</t>
  </si>
  <si>
    <t>978-5-386-09888-9</t>
  </si>
  <si>
    <t>9785386098889</t>
  </si>
  <si>
    <t>Дождь в разрезе</t>
  </si>
  <si>
    <t xml:space="preserve">11027340            </t>
  </si>
  <si>
    <t>Система Блаво</t>
  </si>
  <si>
    <t>Брак моей мечты. Как построить карьеру жены. Блаво Р.</t>
  </si>
  <si>
    <t>978-5-386-15092-1</t>
  </si>
  <si>
    <t>9785386150921</t>
  </si>
  <si>
    <t>Брак моей мечты. Как построить карьеру жены</t>
  </si>
  <si>
    <t xml:space="preserve">11071020            </t>
  </si>
  <si>
    <t>Жить как дышать. Целительные упражнения и практики. Блаво Р.</t>
  </si>
  <si>
    <t>978-5-386-15002-0</t>
  </si>
  <si>
    <t>9785386150020</t>
  </si>
  <si>
    <t>Жить как дышать. Целительные упражнения и практики</t>
  </si>
  <si>
    <t xml:space="preserve">10747780            </t>
  </si>
  <si>
    <t>Как воспитать успешного ребенка. Блаво Р.</t>
  </si>
  <si>
    <t>978-5-386-14950-5</t>
  </si>
  <si>
    <t>9785386149505</t>
  </si>
  <si>
    <t>Как воспитать успешного ребенка</t>
  </si>
  <si>
    <t xml:space="preserve">10747770            </t>
  </si>
  <si>
    <t>Как построить счастливый брак. Блаво Р.</t>
  </si>
  <si>
    <t>978-5-386-14935-2</t>
  </si>
  <si>
    <t>9785386149352</t>
  </si>
  <si>
    <t>Как построить счастливый брак</t>
  </si>
  <si>
    <t xml:space="preserve">11027360            </t>
  </si>
  <si>
    <t>Мы и наши дети. Стратегия осознанного родительства. Блаво Р.</t>
  </si>
  <si>
    <t>978-5-386-15093-8</t>
  </si>
  <si>
    <t>9785386150938</t>
  </si>
  <si>
    <t>Мы и наши дети. Стратегия осознанного родительства</t>
  </si>
  <si>
    <t xml:space="preserve">11488510            </t>
  </si>
  <si>
    <t>Сны моего тела. Секреты здорового отдыха. Блаво Р.</t>
  </si>
  <si>
    <t>978-5-386-15308-3</t>
  </si>
  <si>
    <t>9785386153083</t>
  </si>
  <si>
    <t>Сны моего тела. Секреты здорового отдыха</t>
  </si>
  <si>
    <t xml:space="preserve">11422470            </t>
  </si>
  <si>
    <t>Я не боюсь. Искусство управления эмоциями. Блаво Р.</t>
  </si>
  <si>
    <t>978-5-386-15168-3</t>
  </si>
  <si>
    <t>9785386151683</t>
  </si>
  <si>
    <t>Я не боюсь. Искусство управления эмоциями</t>
  </si>
  <si>
    <t xml:space="preserve">11532190            </t>
  </si>
  <si>
    <t>Скажи «мама»</t>
  </si>
  <si>
    <t>Ребенок: от планирования до школы. Инструкция по применению. Смирнов А.В</t>
  </si>
  <si>
    <t>Смирнов А.В</t>
  </si>
  <si>
    <t>978-5-386-15357-1</t>
  </si>
  <si>
    <t>9785386153571</t>
  </si>
  <si>
    <t>Ребенок: от планирования до школы. Инструкция по применению</t>
  </si>
  <si>
    <t xml:space="preserve">11485560            </t>
  </si>
  <si>
    <t>Скажи "мама". Как победить аутизм ребенка и стать счастливой. Деева Н.</t>
  </si>
  <si>
    <t>Деева Н.</t>
  </si>
  <si>
    <t>978-5-386-15296-3</t>
  </si>
  <si>
    <t>9785386152963</t>
  </si>
  <si>
    <t>Скажи "мама". Как победить аутизм ребенка и стать счастливой</t>
  </si>
  <si>
    <t>Другие отрасли медицины</t>
  </si>
  <si>
    <t>Невропатология. Психиатрия</t>
  </si>
  <si>
    <t>8808400</t>
  </si>
  <si>
    <t>Сказка за сказкой</t>
  </si>
  <si>
    <t>Зимняя сказка (комплект из 3-х книг). Бианки В.В., Топелиус С.</t>
  </si>
  <si>
    <t>Бианки В.В., Топелиус С.</t>
  </si>
  <si>
    <t>978-5-386-12283-6</t>
  </si>
  <si>
    <t>9785386122836</t>
  </si>
  <si>
    <t>Зимняя сказка (комплект из 3-х книг)</t>
  </si>
  <si>
    <t xml:space="preserve">11897850            </t>
  </si>
  <si>
    <t>Скандинавская классика</t>
  </si>
  <si>
    <t>Изгой. Лагерлеф С.</t>
  </si>
  <si>
    <t>978-5-386-15488-2</t>
  </si>
  <si>
    <t>9785386154882</t>
  </si>
  <si>
    <t>Изгой</t>
  </si>
  <si>
    <t xml:space="preserve">11897880            </t>
  </si>
  <si>
    <t>Сказание о Йосте Берлинге. Лагерлеф С.</t>
  </si>
  <si>
    <t>978-5-386-15477-6</t>
  </si>
  <si>
    <t>9785386154776</t>
  </si>
  <si>
    <t>Сказание о Йосте Берлинге</t>
  </si>
  <si>
    <t xml:space="preserve">9972900             </t>
  </si>
  <si>
    <t>Скандинавский детектив</t>
  </si>
  <si>
    <t>Гренландская кукла: роман. Нюгордсхауг Г.</t>
  </si>
  <si>
    <t>Нюгордсхауг Г.</t>
  </si>
  <si>
    <t>978-5-386-12895-1</t>
  </si>
  <si>
    <t>9785386128951</t>
  </si>
  <si>
    <t>Гренландская кукла: роман</t>
  </si>
  <si>
    <t xml:space="preserve">10196890            </t>
  </si>
  <si>
    <t>Девятый принцип. Нюгордсхауг Г.</t>
  </si>
  <si>
    <t>978-5-386-12886-9</t>
  </si>
  <si>
    <t>9785386128869</t>
  </si>
  <si>
    <t>Девятый принцип</t>
  </si>
  <si>
    <t xml:space="preserve">10225350            </t>
  </si>
  <si>
    <t>Кодекс смерти. Нюгордсхауг Г.</t>
  </si>
  <si>
    <t>978-5-386-12885-2</t>
  </si>
  <si>
    <t>9785386128852</t>
  </si>
  <si>
    <t>Кодекс смерти</t>
  </si>
  <si>
    <t xml:space="preserve">10225340            </t>
  </si>
  <si>
    <t>Перст Кассандры: роман. Нюгордсхауг Г.</t>
  </si>
  <si>
    <t>978-5-386-12900-2</t>
  </si>
  <si>
    <t>9785386129002</t>
  </si>
  <si>
    <t>Перст Кассандры: роман</t>
  </si>
  <si>
    <t xml:space="preserve">9075720             </t>
  </si>
  <si>
    <t>Словарь жестов new</t>
  </si>
  <si>
    <t>Словарь жестов. Мессинжер Ж.</t>
  </si>
  <si>
    <t>978-5-386-13423-5</t>
  </si>
  <si>
    <t>9785386134235</t>
  </si>
  <si>
    <t>Словарь жестов</t>
  </si>
  <si>
    <t xml:space="preserve">9794550             </t>
  </si>
  <si>
    <t>Смех Арлекина</t>
  </si>
  <si>
    <t>Исповедь, или Оля, Женя, Зоя. Чехов А.П</t>
  </si>
  <si>
    <t>Чехов А.П.</t>
  </si>
  <si>
    <t>978-5-386-14422-7</t>
  </si>
  <si>
    <t>9785386144227</t>
  </si>
  <si>
    <t>Исповедь, или Оля, Женя, Зоя</t>
  </si>
  <si>
    <t xml:space="preserve">11028400            </t>
  </si>
  <si>
    <t>Смыслографика</t>
  </si>
  <si>
    <t>Смыслографика: Основы создания презентаций для детей и взрослых. Ермолин А.</t>
  </si>
  <si>
    <t>Ермолин А.</t>
  </si>
  <si>
    <t>978-5-386-15041-9</t>
  </si>
  <si>
    <t>9785386150419</t>
  </si>
  <si>
    <t>Смыслографика: Основы создания презентаций для детей и взрослых</t>
  </si>
  <si>
    <t>Информатика</t>
  </si>
  <si>
    <t xml:space="preserve">11436990            </t>
  </si>
  <si>
    <t>Собрание сочинений</t>
  </si>
  <si>
    <t>Бесы: роман: Ч. 1-2: повесть, рассказы. Достоевский Ф.М.</t>
  </si>
  <si>
    <t>Достоевский Ф.М.</t>
  </si>
  <si>
    <t>978-5-386-15226-0</t>
  </si>
  <si>
    <t>9785386152260</t>
  </si>
  <si>
    <t>Бесы: роман: Ч. 1-2: повесть, рассказы</t>
  </si>
  <si>
    <t xml:space="preserve">11436940            </t>
  </si>
  <si>
    <t>Бесы: роман: Ч. 3: повесть, рассказы. Достоевский Ф.М.</t>
  </si>
  <si>
    <t>978-5-386-15227-7</t>
  </si>
  <si>
    <t>9785386152277</t>
  </si>
  <si>
    <t>Бесы: роман: Ч. 3: повесть, рассказы</t>
  </si>
  <si>
    <t xml:space="preserve">11440010            </t>
  </si>
  <si>
    <t>Братья Карамазовы: роман: Ч. 1-2. Достоевский Ф.М.</t>
  </si>
  <si>
    <t>978-5-386-15198-0</t>
  </si>
  <si>
    <t>9785386151980</t>
  </si>
  <si>
    <t>Братья Карамазовы: роман: Ч. 1-2</t>
  </si>
  <si>
    <t xml:space="preserve">11436730            </t>
  </si>
  <si>
    <t>Братья Карамазовы: роман: Ч. 3-4. Достоевский Ф.М.</t>
  </si>
  <si>
    <t>978-5-386-15199-7</t>
  </si>
  <si>
    <t>9785386151997</t>
  </si>
  <si>
    <t>Братья Карамазовы: роман: Ч. 3-4</t>
  </si>
  <si>
    <t xml:space="preserve">11379920            </t>
  </si>
  <si>
    <t>Вечера на хуторе близ Диканьки. Гоголь Н.В.</t>
  </si>
  <si>
    <t>978-5-386-15220-8</t>
  </si>
  <si>
    <t>9785386152208</t>
  </si>
  <si>
    <t>Вечера на хуторе близ Диканьки</t>
  </si>
  <si>
    <t>11012630</t>
  </si>
  <si>
    <t>Вихрь: В 3 т (комплект). Беннинг А.</t>
  </si>
  <si>
    <t>978-5-521-80561-7</t>
  </si>
  <si>
    <t>9785521805617</t>
  </si>
  <si>
    <t>Вихрь: В 3 т (комплект)</t>
  </si>
  <si>
    <t xml:space="preserve">11073730            </t>
  </si>
  <si>
    <t>Данелия. Комплект 3 книги. Данелия Г.Н.</t>
  </si>
  <si>
    <t>978-5-386-15087-7</t>
  </si>
  <si>
    <t>9785386150877</t>
  </si>
  <si>
    <t>Данелия. Комплект 3 книги</t>
  </si>
  <si>
    <t>11480110</t>
  </si>
  <si>
    <t>Достоевский Ф.М. С/с: В 12 т: комплект. Достоевский Ф.М.</t>
  </si>
  <si>
    <t>978-5-521-83629-1</t>
  </si>
  <si>
    <t>9785521836291</t>
  </si>
  <si>
    <t>Достоевский Ф.М. С/с: В 12 т: комплект</t>
  </si>
  <si>
    <t xml:space="preserve">11436950            </t>
  </si>
  <si>
    <t>Записки из подполья. Зимние заметки о летних впечатлениях. Игрок: роман. Достоевский Ф.М.</t>
  </si>
  <si>
    <t>978-5-386-15187-4</t>
  </si>
  <si>
    <t>9785386151874</t>
  </si>
  <si>
    <t>Записки из подполья. Зимние заметки о летних впечатлениях. Игрок: роман</t>
  </si>
  <si>
    <t xml:space="preserve">11004010            </t>
  </si>
  <si>
    <t>Записки юного врача: рассказы. Булгаков М.А.</t>
  </si>
  <si>
    <t>978-5-386-14980-2</t>
  </si>
  <si>
    <t>9785386149802</t>
  </si>
  <si>
    <t>Записки юного врача: рассказы</t>
  </si>
  <si>
    <t xml:space="preserve">11436980            </t>
  </si>
  <si>
    <t>Идиот: роман: Ч. 1-2. Достоевский Ф.М.</t>
  </si>
  <si>
    <t>978-5-386-15195-9</t>
  </si>
  <si>
    <t>9785386151959</t>
  </si>
  <si>
    <t>Идиот: роман: Ч. 1-2</t>
  </si>
  <si>
    <t xml:space="preserve">11440060            </t>
  </si>
  <si>
    <t>Идиот: роман: Ч. 3-4. Достоевский Ф.М.</t>
  </si>
  <si>
    <t>978-5-386-15196-6</t>
  </si>
  <si>
    <t>9785386151966</t>
  </si>
  <si>
    <t>Идиот: роман: Ч. 3-4</t>
  </si>
  <si>
    <t>9743250</t>
  </si>
  <si>
    <t>История гос-ва Российского: В 12-ти тт. с комментариями. Карамзин Н.М.</t>
  </si>
  <si>
    <t>Карамзин Н.М.</t>
  </si>
  <si>
    <t>978-5-386-14398-5</t>
  </si>
  <si>
    <t>9785386143985</t>
  </si>
  <si>
    <t>История гос-ва Российского: В 12-ти тт. с комментариями</t>
  </si>
  <si>
    <t xml:space="preserve">11502900            </t>
  </si>
  <si>
    <t>Мистерия-буфф: Комедии. Маяковский В.В</t>
  </si>
  <si>
    <t>Маяковский В.В</t>
  </si>
  <si>
    <t>978-5-386-15171-3</t>
  </si>
  <si>
    <t>9785386151713</t>
  </si>
  <si>
    <t>Мистерия-буфф: Комедии</t>
  </si>
  <si>
    <t>Русская драматургия</t>
  </si>
  <si>
    <t xml:space="preserve">11436610            </t>
  </si>
  <si>
    <t>Подросток: роман: Ч. 1-2. Достоевский Ф.М.</t>
  </si>
  <si>
    <t>978-5-386-15216-1</t>
  </si>
  <si>
    <t>9785386152161</t>
  </si>
  <si>
    <t>Подросток: роман: Ч. 1-2</t>
  </si>
  <si>
    <t xml:space="preserve">11437130            </t>
  </si>
  <si>
    <t>Подросток: роман: Ч. 3. Достоевский Ф.М.</t>
  </si>
  <si>
    <t>978-5-386-15217-8</t>
  </si>
  <si>
    <t>9785386152178</t>
  </si>
  <si>
    <t>Подросток: роман: Ч. 3</t>
  </si>
  <si>
    <t xml:space="preserve">11014980            </t>
  </si>
  <si>
    <t>Собр.соч. в 3-х тт: Мастер и Маргарита; Собачье сердце; Белая гвардия. Булгаков М.А</t>
  </si>
  <si>
    <t>978-5-386-15086-0</t>
  </si>
  <si>
    <t>9785386150860</t>
  </si>
  <si>
    <t>Собр.соч. в 3-х тт: Мастер и Маргарита; Собачье сердце; Белая гвардия</t>
  </si>
  <si>
    <t xml:space="preserve">11086270            </t>
  </si>
  <si>
    <t>Собр.соч. в 5-ти тт : Петр Первый: Кн. 1, 2;  Хождение по мукам: Кн. 1, 2, 3: комплект из 5 книг.. Толстой А.Н.</t>
  </si>
  <si>
    <t>978-5-386-15090-7</t>
  </si>
  <si>
    <t>9785386150907</t>
  </si>
  <si>
    <t>Собр.соч. в 5-ти тт : Петр Первый: Кн. 1, 2;  Хождение по мукам: Кн. 1, 2, 3: комплект из 5 книг.</t>
  </si>
  <si>
    <t xml:space="preserve">11100930            </t>
  </si>
  <si>
    <t>Собр.соч. в 7-ми тт.: Петр Первый: Кн. 1,2;  Хождение по мукам: Кн. 1,2,3; Гиперболоид инженера Гарина; Граф Калиостро. Толстой А.Н.</t>
  </si>
  <si>
    <t>978-5-386-15088-4</t>
  </si>
  <si>
    <t>9785386150884</t>
  </si>
  <si>
    <t>Собр.соч. в 7-ми тт.: Петр Первый: Кн. 1,2;  Хождение по мукам: Кн. 1,2,3; Гиперболоид инженера Гарина; Граф Калиостро</t>
  </si>
  <si>
    <t xml:space="preserve">11436900            </t>
  </si>
  <si>
    <t>Униженные и оскорбленные: роман. Достоевский Ф.М.</t>
  </si>
  <si>
    <t>978-5-386-15197-3</t>
  </si>
  <si>
    <t>9785386151973</t>
  </si>
  <si>
    <t>Униженные и оскорбленные: роман</t>
  </si>
  <si>
    <t xml:space="preserve">8787030             </t>
  </si>
  <si>
    <t>Собрание сочинений Дж. Остен</t>
  </si>
  <si>
    <t>Гордость и гордыня: роман. Т. 2. Остен Дж.</t>
  </si>
  <si>
    <t>Остен Дж.</t>
  </si>
  <si>
    <t>978-5-386-12201-0</t>
  </si>
  <si>
    <t>9785386122010</t>
  </si>
  <si>
    <t>Гордость и гордыня: роман. Т. 2</t>
  </si>
  <si>
    <t xml:space="preserve">9577830             </t>
  </si>
  <si>
    <t>Советистан</t>
  </si>
  <si>
    <t>Граница. Россия глазами соседей. Фатланд Э.</t>
  </si>
  <si>
    <t>Фатланд Э.</t>
  </si>
  <si>
    <t>978-5-386-13854-7</t>
  </si>
  <si>
    <t>9785386138547</t>
  </si>
  <si>
    <t>Граница. Россия глазами соседей</t>
  </si>
  <si>
    <t xml:space="preserve">11198050            </t>
  </si>
  <si>
    <t>Современная поэзия</t>
  </si>
  <si>
    <t>Болотный огонь: Избранное. Чигрин Е.М.</t>
  </si>
  <si>
    <t>Чигрин Е.М.</t>
  </si>
  <si>
    <t>978-5-386-15103-4</t>
  </si>
  <si>
    <t>9785386151034</t>
  </si>
  <si>
    <t>Болотный огонь: Избранное</t>
  </si>
  <si>
    <t xml:space="preserve">8891690             </t>
  </si>
  <si>
    <t>Нет никого лучше тебя: Пять петербургских поэтов о любви. Веселов Д.Е.</t>
  </si>
  <si>
    <t>Веселов Д.Е.</t>
  </si>
  <si>
    <t>978-5-386-12371-0</t>
  </si>
  <si>
    <t>9785386123710</t>
  </si>
  <si>
    <t>Нет никого лучше тебя: Пять петербургских поэтов о любви</t>
  </si>
  <si>
    <t xml:space="preserve">11288880            </t>
  </si>
  <si>
    <t>Сопряженность. Лайдинен Н.</t>
  </si>
  <si>
    <t>978-5-386-15181-2</t>
  </si>
  <si>
    <t>9785386151812</t>
  </si>
  <si>
    <t>Сопряженность</t>
  </si>
  <si>
    <t xml:space="preserve">8803610             </t>
  </si>
  <si>
    <t>Я тебя люблю?: стихотворения. Гордон Е.</t>
  </si>
  <si>
    <t>Гордон Е.</t>
  </si>
  <si>
    <t>978-5-386-12235-5</t>
  </si>
  <si>
    <t>9785386122355</t>
  </si>
  <si>
    <t>Я тебя люблю?: стихотворения</t>
  </si>
  <si>
    <t xml:space="preserve">10509560            </t>
  </si>
  <si>
    <t>Современная проза</t>
  </si>
  <si>
    <t>Обратись в слова. Аверина Р.</t>
  </si>
  <si>
    <t>Аверина Р.</t>
  </si>
  <si>
    <t>978-5-386-14867-6</t>
  </si>
  <si>
    <t>9785386148676</t>
  </si>
  <si>
    <t>Обратись в слова</t>
  </si>
  <si>
    <t xml:space="preserve">11191690            </t>
  </si>
  <si>
    <t>Эолова Арфа: роман. Сегень А.Ю.</t>
  </si>
  <si>
    <t>Сегень А.Ю.</t>
  </si>
  <si>
    <t>978-5-386-15149-2</t>
  </si>
  <si>
    <t>9785386151492</t>
  </si>
  <si>
    <t>Эолова Арфа: роман</t>
  </si>
  <si>
    <t xml:space="preserve">11116450            </t>
  </si>
  <si>
    <t>Современная российская проза</t>
  </si>
  <si>
    <t>Бог, которого не было. Белая книга. Кн. 1. Френкель А.</t>
  </si>
  <si>
    <t>978-5-386-15118-8</t>
  </si>
  <si>
    <t>9785386151188</t>
  </si>
  <si>
    <t>Бог, которого не было. Белая книга. Кн. 1</t>
  </si>
  <si>
    <t xml:space="preserve">11260910            </t>
  </si>
  <si>
    <t>Бог, которого не было. Черная книга. 2. Френкель А.</t>
  </si>
  <si>
    <t>978-5-386-15119-5</t>
  </si>
  <si>
    <t>9785386151195</t>
  </si>
  <si>
    <t>Бог, которого не было. Черная книга. 2</t>
  </si>
  <si>
    <t xml:space="preserve">11155880            </t>
  </si>
  <si>
    <t>Великая Мать: роман. Белодед И.</t>
  </si>
  <si>
    <t>Белодед И.</t>
  </si>
  <si>
    <t>978-5-386-15133-1</t>
  </si>
  <si>
    <t>9785386151331</t>
  </si>
  <si>
    <t>Великая Мать: роман</t>
  </si>
  <si>
    <t xml:space="preserve">11003020            </t>
  </si>
  <si>
    <t>Двойник. Трудности перевода 2. Рой О.Ю.</t>
  </si>
  <si>
    <t>978-5-386-15068-6</t>
  </si>
  <si>
    <t>9785386150686</t>
  </si>
  <si>
    <t>Двойник. Трудности перевода 2</t>
  </si>
  <si>
    <t xml:space="preserve">11002840            </t>
  </si>
  <si>
    <t>978-5-386-15067-9</t>
  </si>
  <si>
    <t>9785386150679</t>
  </si>
  <si>
    <t xml:space="preserve">9972830             </t>
  </si>
  <si>
    <t>Современный зарубежный детектив</t>
  </si>
  <si>
    <t>Защитник. Каролина А.</t>
  </si>
  <si>
    <t>Каролина А.</t>
  </si>
  <si>
    <t>978-5-386-14542-2</t>
  </si>
  <si>
    <t>9785386145422</t>
  </si>
  <si>
    <t>Защитник</t>
  </si>
  <si>
    <t xml:space="preserve">9975250             </t>
  </si>
  <si>
    <t>Очень плохая история. Форбс Э.</t>
  </si>
  <si>
    <t>Форбс Э.</t>
  </si>
  <si>
    <t>978-5-386-14569-9</t>
  </si>
  <si>
    <t>9785386145699</t>
  </si>
  <si>
    <t>Очень плохая история</t>
  </si>
  <si>
    <t xml:space="preserve">9680970             </t>
  </si>
  <si>
    <t>Способные люди. Экман К.</t>
  </si>
  <si>
    <t>Экман К.</t>
  </si>
  <si>
    <t>978-5-386-14209-4</t>
  </si>
  <si>
    <t>9785386142094</t>
  </si>
  <si>
    <t>Способные люди</t>
  </si>
  <si>
    <t xml:space="preserve">7970990             </t>
  </si>
  <si>
    <t>С-П</t>
  </si>
  <si>
    <t>Игра первых. Качалова Ю.Н.</t>
  </si>
  <si>
    <t>Качалова Ю.Н.</t>
  </si>
  <si>
    <t>978-5-386-09686-1</t>
  </si>
  <si>
    <t>9785386096861</t>
  </si>
  <si>
    <t>Игра первых</t>
  </si>
  <si>
    <t xml:space="preserve">7349150             </t>
  </si>
  <si>
    <t>Книга -Тренинг по мгновенной самореализации. Чеботарев Н.Н.</t>
  </si>
  <si>
    <t>Чеботарев Н.Н.</t>
  </si>
  <si>
    <t>978-5-600-01165-6</t>
  </si>
  <si>
    <t>9785600011656</t>
  </si>
  <si>
    <t>Книга -Тренинг по мгновенной самореализации</t>
  </si>
  <si>
    <t xml:space="preserve">8558730             </t>
  </si>
  <si>
    <t>Когда домом правит зоопарк. Самарина Л., Шлыков А</t>
  </si>
  <si>
    <t>Самарина Л., Шлыков А.</t>
  </si>
  <si>
    <t>978-5-386-10643-0</t>
  </si>
  <si>
    <t>9785386106430</t>
  </si>
  <si>
    <t>Когда домом правит зоопарк</t>
  </si>
  <si>
    <t xml:space="preserve">7971010             </t>
  </si>
  <si>
    <t>Не отдавай меня другим. Крючкова А.А.</t>
  </si>
  <si>
    <t>Крючкова А.А.</t>
  </si>
  <si>
    <t>978-5-386-09767-7</t>
  </si>
  <si>
    <t>9785386097677</t>
  </si>
  <si>
    <t>Не отдавай меня другим</t>
  </si>
  <si>
    <t>320680</t>
  </si>
  <si>
    <t>С-П. Карусель страданий. Кос Е.</t>
  </si>
  <si>
    <t>Кос Е.</t>
  </si>
  <si>
    <t>978-5-600-01114-4</t>
  </si>
  <si>
    <t>9785600011144</t>
  </si>
  <si>
    <t>С-П. Карусель страданий</t>
  </si>
  <si>
    <t xml:space="preserve">7680150             </t>
  </si>
  <si>
    <t>Я буду длиться вечно. Маранс П.</t>
  </si>
  <si>
    <t>Маранс П.</t>
  </si>
  <si>
    <t>978-5-600-01107-6</t>
  </si>
  <si>
    <t>9785600011076</t>
  </si>
  <si>
    <t>Я буду длиться вечно</t>
  </si>
  <si>
    <t xml:space="preserve">8612600             </t>
  </si>
  <si>
    <t>Спросите у…</t>
  </si>
  <si>
    <t>Спросите у космонавта. Пик Т.</t>
  </si>
  <si>
    <t>Пик Т.</t>
  </si>
  <si>
    <t>978-5-386-10732-1</t>
  </si>
  <si>
    <t>9785386107321</t>
  </si>
  <si>
    <t>Спросите у космонавта</t>
  </si>
  <si>
    <t>Прикладные науки. Техника</t>
  </si>
  <si>
    <t>Транспорт</t>
  </si>
  <si>
    <t>Воздушный транспорт. Космонавтика</t>
  </si>
  <si>
    <t xml:space="preserve">10947170            </t>
  </si>
  <si>
    <t>Страна счастья</t>
  </si>
  <si>
    <t>Азбука Арктики и Дальнего Востока. Рой О.Ю.</t>
  </si>
  <si>
    <t>978-5-386-14912-3</t>
  </si>
  <si>
    <t>9785386149123</t>
  </si>
  <si>
    <t>Азбука Арктики и Дальнего Востока</t>
  </si>
  <si>
    <t>Окружающий мир</t>
  </si>
  <si>
    <t xml:space="preserve">10945520            </t>
  </si>
  <si>
    <t>Сказки Дальнего Востока и Арктики. Рой О.Ю.</t>
  </si>
  <si>
    <t>978-5-386-14992-5</t>
  </si>
  <si>
    <t>9785386149925</t>
  </si>
  <si>
    <t>Сказки Дальнего Востока и Арктики</t>
  </si>
  <si>
    <t xml:space="preserve">10480080            </t>
  </si>
  <si>
    <t>Сумка чудес</t>
  </si>
  <si>
    <t>Аттика. Килворт Г.Д</t>
  </si>
  <si>
    <t>Килворт Г.Д</t>
  </si>
  <si>
    <t>978-5-386-14829-4</t>
  </si>
  <si>
    <t>9785386148294</t>
  </si>
  <si>
    <t>Аттика</t>
  </si>
  <si>
    <t xml:space="preserve">10409650            </t>
  </si>
  <si>
    <t>Головоломка. Килворт Г.Д</t>
  </si>
  <si>
    <t>978-5-386-14720-4</t>
  </si>
  <si>
    <t>9785386147204</t>
  </si>
  <si>
    <t>Головоломка</t>
  </si>
  <si>
    <t xml:space="preserve">10455400            </t>
  </si>
  <si>
    <t>Дерево желаний. Эпплгейт К.</t>
  </si>
  <si>
    <t>Эпплгейт К.</t>
  </si>
  <si>
    <t>978-5-386-14809-6</t>
  </si>
  <si>
    <t>9785386148096</t>
  </si>
  <si>
    <t xml:space="preserve">10485060            </t>
  </si>
  <si>
    <t>Когда дружба провожала меня домой. Гриффин П.</t>
  </si>
  <si>
    <t>Гриффин П.</t>
  </si>
  <si>
    <t>978-5-386-14836-2</t>
  </si>
  <si>
    <t>9785386148362</t>
  </si>
  <si>
    <t>Когда дружба провожала меня домой</t>
  </si>
  <si>
    <t xml:space="preserve">8897120             </t>
  </si>
  <si>
    <t>978-5-386-12019-1</t>
  </si>
  <si>
    <t>9785386120191</t>
  </si>
  <si>
    <t xml:space="preserve">8979210             </t>
  </si>
  <si>
    <t>978-5-386-12483-0</t>
  </si>
  <si>
    <t>9785386124830</t>
  </si>
  <si>
    <t xml:space="preserve">8905360             </t>
  </si>
  <si>
    <t>Маленький Йоханнес: сказка. Эден Ф. Ван</t>
  </si>
  <si>
    <t>Эден Ф. Ван</t>
  </si>
  <si>
    <t>978-5-386-12354-3</t>
  </si>
  <si>
    <t>9785386123543</t>
  </si>
  <si>
    <t>Маленький Йоханнес: сказка</t>
  </si>
  <si>
    <t xml:space="preserve">8396740             </t>
  </si>
  <si>
    <t>Проект «Дом с привидениями». Клесен Т.</t>
  </si>
  <si>
    <t>Клесен Т.</t>
  </si>
  <si>
    <t>978-5-386-10390-3</t>
  </si>
  <si>
    <t>9785386103903</t>
  </si>
  <si>
    <t>Проект «Дом с привидениями»</t>
  </si>
  <si>
    <t xml:space="preserve">10408220            </t>
  </si>
  <si>
    <t>Храбрая Беатрис и проклятье дрожунов. Моклер С.</t>
  </si>
  <si>
    <t>Моклер С.</t>
  </si>
  <si>
    <t>978-5-386-13790-8</t>
  </si>
  <si>
    <t>9785386137908</t>
  </si>
  <si>
    <t>Храбрая Беатрис и проклятье дрожунов</t>
  </si>
  <si>
    <t xml:space="preserve">10292700            </t>
  </si>
  <si>
    <t>Счастливый поросёнок</t>
  </si>
  <si>
    <t>Джоуи и бабочка. Хунбо Г.</t>
  </si>
  <si>
    <t>978-5-386-14680-1</t>
  </si>
  <si>
    <t>9785386146801</t>
  </si>
  <si>
    <t>Джоуи и бабочка</t>
  </si>
  <si>
    <t xml:space="preserve">10292370            </t>
  </si>
  <si>
    <t>Джоуи и его подарок на День мамы. Хунбо Г.</t>
  </si>
  <si>
    <t>978-5-386-14681-8</t>
  </si>
  <si>
    <t>9785386146818</t>
  </si>
  <si>
    <t>Джоуи и его подарок на День мамы</t>
  </si>
  <si>
    <t xml:space="preserve">10372920            </t>
  </si>
  <si>
    <t>Джоуи и Кларенс - фейри одуванчиков. Хунбо Г.</t>
  </si>
  <si>
    <t>978-5-386-14693-1</t>
  </si>
  <si>
    <t>9785386146931</t>
  </si>
  <si>
    <t>Джоуи и Кларенс - фейри одуванчиков</t>
  </si>
  <si>
    <t xml:space="preserve">10099090            </t>
  </si>
  <si>
    <t>Джоуи и молочный зуб. Хунбо Г.</t>
  </si>
  <si>
    <t>978-5-386-14409-8</t>
  </si>
  <si>
    <t>9785386144098</t>
  </si>
  <si>
    <t>Джоуи и молочный зуб</t>
  </si>
  <si>
    <t>Человек</t>
  </si>
  <si>
    <t xml:space="preserve">10403250            </t>
  </si>
  <si>
    <t>Джоуи и опухшая щека. Хунбо Г.</t>
  </si>
  <si>
    <t>978-5-386-14738-9</t>
  </si>
  <si>
    <t>9785386147389</t>
  </si>
  <si>
    <t>Джоуи и опухшая щека</t>
  </si>
  <si>
    <t xml:space="preserve">10096280            </t>
  </si>
  <si>
    <t>Джоуи и первый снег. Хунбо Г.</t>
  </si>
  <si>
    <t>978-5-386-14408-1</t>
  </si>
  <si>
    <t>9785386144081</t>
  </si>
  <si>
    <t>Джоуи и первый снег</t>
  </si>
  <si>
    <t xml:space="preserve">10096290            </t>
  </si>
  <si>
    <t>Джоуи и поросячий стиль. Хунбо Г.</t>
  </si>
  <si>
    <t>978-5-386-14561-3</t>
  </si>
  <si>
    <t>9785386145613</t>
  </si>
  <si>
    <t>Джоуи и поросячий стиль</t>
  </si>
  <si>
    <t xml:space="preserve">10238910            </t>
  </si>
  <si>
    <t>Джоуи и три ноги. Хунбо Г.</t>
  </si>
  <si>
    <t>978-5-386-14652-8</t>
  </si>
  <si>
    <t>9785386146528</t>
  </si>
  <si>
    <t>Джоуи и три ноги</t>
  </si>
  <si>
    <t xml:space="preserve">10238920            </t>
  </si>
  <si>
    <t>Джоуи и хурма. Хунбо Г.</t>
  </si>
  <si>
    <t>978-5-386-14651-1</t>
  </si>
  <si>
    <t>9785386146511</t>
  </si>
  <si>
    <t>Джоуи и хурма</t>
  </si>
  <si>
    <t xml:space="preserve">10406750            </t>
  </si>
  <si>
    <t>Джоуи решает похудеть. Хунбо Г.</t>
  </si>
  <si>
    <t>978-5-386-14739-6</t>
  </si>
  <si>
    <t>9785386147396</t>
  </si>
  <si>
    <t>Джоуи решает похудеть</t>
  </si>
  <si>
    <t>10276290</t>
  </si>
  <si>
    <t>Поросенок Джоуи (комплект из 3-х книг). Хунбо Г.</t>
  </si>
  <si>
    <t>978-5-386-14685-6</t>
  </si>
  <si>
    <t>9785386146856</t>
  </si>
  <si>
    <t>Поросенок Джоуи (комплект из 3-х книг)</t>
  </si>
  <si>
    <t xml:space="preserve">8738410             </t>
  </si>
  <si>
    <t>Тайные знания</t>
  </si>
  <si>
    <t>Величайшие русские пророки, предсказатели, провидцы. Сост. Рублена Д.В.</t>
  </si>
  <si>
    <t>Сост. Рублена Д.В.</t>
  </si>
  <si>
    <t>978-5-386-10193-0</t>
  </si>
  <si>
    <t>9785386101930</t>
  </si>
  <si>
    <t>Величайшие русские пророки, предсказатели, провидцы</t>
  </si>
  <si>
    <t>Биографии (сборники)</t>
  </si>
  <si>
    <t xml:space="preserve">8161430             </t>
  </si>
  <si>
    <t>Даты и судьбы. Большая книга нумерологии. От нумерологии - к цифровому анализу (пер.). Александров А.Ф.</t>
  </si>
  <si>
    <t>978-5-386-10005-6</t>
  </si>
  <si>
    <t>9785386100056</t>
  </si>
  <si>
    <t>Даты и судьбы. Большая книга нумерологии. От нумерологии - к цифровому анализу (пер.)</t>
  </si>
  <si>
    <t xml:space="preserve">8133370             </t>
  </si>
  <si>
    <t>Жизнь после смерти. Религиозные представления и научные доказательства. Данилова Е.</t>
  </si>
  <si>
    <t>Данилова Е.</t>
  </si>
  <si>
    <t>978-5-386-09948-0</t>
  </si>
  <si>
    <t>9785386099480</t>
  </si>
  <si>
    <t>Жизнь после смерти. Религиозные представления и научные доказательства</t>
  </si>
  <si>
    <t>Религиоведение. История религий</t>
  </si>
  <si>
    <t>История религий</t>
  </si>
  <si>
    <t xml:space="preserve">8477990             </t>
  </si>
  <si>
    <t>Там, где сердце</t>
  </si>
  <si>
    <t>Последние парень и девушка на Земле. Вивьен Ш.</t>
  </si>
  <si>
    <t>Вивьен Ш.</t>
  </si>
  <si>
    <t>978-5-386-10307-1</t>
  </si>
  <si>
    <t>9785386103071</t>
  </si>
  <si>
    <t>Последние парень и девушка на Земле</t>
  </si>
  <si>
    <t xml:space="preserve">8474930             </t>
  </si>
  <si>
    <t>Сердцееды: роман. Новак Э.</t>
  </si>
  <si>
    <t>Новак Э.</t>
  </si>
  <si>
    <t>978-5-386-10489-4</t>
  </si>
  <si>
    <t>9785386104894</t>
  </si>
  <si>
    <t>Сердцееды: роман</t>
  </si>
  <si>
    <t xml:space="preserve">9980870             </t>
  </si>
  <si>
    <t>Темная сторона</t>
  </si>
  <si>
    <t>День, когда мир перестал покупать. Маккиннон Дж.Б.</t>
  </si>
  <si>
    <t>Маккиннон Дж.Б.</t>
  </si>
  <si>
    <t>978-5-386-14574-3</t>
  </si>
  <si>
    <t>9785386145743</t>
  </si>
  <si>
    <t>День, когда мир перестал покупать</t>
  </si>
  <si>
    <t xml:space="preserve">9035890             </t>
  </si>
  <si>
    <t>Дневник Гуантанамо. Слахи ульд М., Симс Л.</t>
  </si>
  <si>
    <t>Слахи ульд М., Симс Л.</t>
  </si>
  <si>
    <t>978-5-386-12311-6</t>
  </si>
  <si>
    <t>9785386123116</t>
  </si>
  <si>
    <t xml:space="preserve">9184240             </t>
  </si>
  <si>
    <t>Однажды в... реальном Голливуде. Подлинная история голливудской резни. Буглиози В., Джентри К.</t>
  </si>
  <si>
    <t>Буглиози В., Джентри К.</t>
  </si>
  <si>
    <t>978-5-386-12698-8</t>
  </si>
  <si>
    <t>9785386126988</t>
  </si>
  <si>
    <t>Однажды в... реальном Голливуде. Подлинная история голливудской резни</t>
  </si>
  <si>
    <t>320576</t>
  </si>
  <si>
    <t>Технология свободы</t>
  </si>
  <si>
    <t>Взрыв любви. Сачдева Г.</t>
  </si>
  <si>
    <t>Сачдева Г.</t>
  </si>
  <si>
    <t>978-5-386-08553-7</t>
  </si>
  <si>
    <t>9785386085537</t>
  </si>
  <si>
    <t xml:space="preserve">610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</si>
  <si>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проза                                                                                                                </t>
  </si>
  <si>
    <t>Взрыв любви</t>
  </si>
  <si>
    <t xml:space="preserve">9349010             </t>
  </si>
  <si>
    <t>Травелог-бестселлер</t>
  </si>
  <si>
    <t>Сквозь Африку. Заметки и размышления путешественника на деревянном велосипеде. Колотов К.</t>
  </si>
  <si>
    <t>Колотов К.</t>
  </si>
  <si>
    <t>978-5-386-13614-7</t>
  </si>
  <si>
    <t>9785386136147</t>
  </si>
  <si>
    <t>Сквозь Африку. Заметки и размышления путешественника на деревянном велосипеде</t>
  </si>
  <si>
    <t xml:space="preserve">9690490             </t>
  </si>
  <si>
    <t>Три метра над небом</t>
  </si>
  <si>
    <t>Прости за любовь: роман. Моччиа Ф.</t>
  </si>
  <si>
    <t>978-5-386-14145-5</t>
  </si>
  <si>
    <t>9785386141455</t>
  </si>
  <si>
    <t>Прости за любовь: роман</t>
  </si>
  <si>
    <t xml:space="preserve">8397290             </t>
  </si>
  <si>
    <t>Узнать за 30 секунд</t>
  </si>
  <si>
    <t>Леонардо да Винчи за 30 секунд. Аме-Льюис Ф., Барон Дж., Калтер П.</t>
  </si>
  <si>
    <t>Аме-Льюис Ф., Барон Дж., Калтер П.</t>
  </si>
  <si>
    <t>80х98/16</t>
  </si>
  <si>
    <t>978-5-386-10323-1</t>
  </si>
  <si>
    <t>9785386103231</t>
  </si>
  <si>
    <t>Леонардо да Винчи за 30 секунд</t>
  </si>
  <si>
    <t>320288</t>
  </si>
  <si>
    <t>Стивен Хокинг за 30 секунд. Ред. Парсонс П.</t>
  </si>
  <si>
    <t>Ред. Парсонс П.</t>
  </si>
  <si>
    <t>978-5-386-08143-0</t>
  </si>
  <si>
    <t>9785386081430</t>
  </si>
  <si>
    <t xml:space="preserve">683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</si>
  <si>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Биографии                                                                                                                       </t>
  </si>
  <si>
    <t>Стивен Хокинг за 30 секунд</t>
  </si>
  <si>
    <t>Наука. Науковедение</t>
  </si>
  <si>
    <t xml:space="preserve">10369200            </t>
  </si>
  <si>
    <t>Уроки истории</t>
  </si>
  <si>
    <t>Бунт и смута на Руси. Минаев С.С.</t>
  </si>
  <si>
    <t>Минаев С.С.</t>
  </si>
  <si>
    <t>978-5-386-14636-8</t>
  </si>
  <si>
    <t>9785386146368</t>
  </si>
  <si>
    <t>Бунт и смута на Руси</t>
  </si>
  <si>
    <t xml:space="preserve">7666990             </t>
  </si>
  <si>
    <t>Учебные романы</t>
  </si>
  <si>
    <t>978-5-386-09488-1</t>
  </si>
  <si>
    <t>9785386094881</t>
  </si>
  <si>
    <t xml:space="preserve">7821320             </t>
  </si>
  <si>
    <t>ФанЛаб</t>
  </si>
  <si>
    <t>Драуген. Власов П.В., Власова О.</t>
  </si>
  <si>
    <t>Власов П.В., Власова О.</t>
  </si>
  <si>
    <t>978-5-386-09599-4</t>
  </si>
  <si>
    <t>9785386095994</t>
  </si>
  <si>
    <t>Драуген</t>
  </si>
  <si>
    <t xml:space="preserve">9114200             </t>
  </si>
  <si>
    <t>Феноменология: Современные переводы</t>
  </si>
  <si>
    <t>Феноменология и эстетика. Ч. 2. Беккер О., Гайгер М., Дюфрен М.</t>
  </si>
  <si>
    <t>Беккер О., Гайгер М., Дюфрен М.</t>
  </si>
  <si>
    <t>978-5-386-12794-7</t>
  </si>
  <si>
    <t>9785386127947</t>
  </si>
  <si>
    <t>Феноменология и эстетика. Ч. 2</t>
  </si>
  <si>
    <t xml:space="preserve">9490510             </t>
  </si>
  <si>
    <t>Фигуры Философии</t>
  </si>
  <si>
    <t>К критике политической экономии знака. Бодрийяр Ж.</t>
  </si>
  <si>
    <t>Бодрийяр Ж.</t>
  </si>
  <si>
    <t>978-5-386-13775-5</t>
  </si>
  <si>
    <t>9785386137755</t>
  </si>
  <si>
    <t>К критике политической экономии знака</t>
  </si>
  <si>
    <t>Политическая философия</t>
  </si>
  <si>
    <t xml:space="preserve">9521750             </t>
  </si>
  <si>
    <t>Мишель Фуко в Долине Смерти. Как великий французский философ триповал в Калифорнии. Уэйд С.</t>
  </si>
  <si>
    <t>Уэйд С.</t>
  </si>
  <si>
    <t>978-5-386-13819-6</t>
  </si>
  <si>
    <t>9785386138196</t>
  </si>
  <si>
    <t>Мишель Фуко в Долине Смерти. Как великий французский философ триповал в Калифорнии</t>
  </si>
  <si>
    <t xml:space="preserve">9633490             </t>
  </si>
  <si>
    <t>Наркокапитализм. Жизнь в эпоху анестезии. Суттер Л. де</t>
  </si>
  <si>
    <t>Суттер Л. де</t>
  </si>
  <si>
    <t>978-5-386-14006-9</t>
  </si>
  <si>
    <t>9785386140069</t>
  </si>
  <si>
    <t>Наркокапитализм. Жизнь в эпоху анестезии</t>
  </si>
  <si>
    <t xml:space="preserve">9731110             </t>
  </si>
  <si>
    <t>Объясняя постмодернизм. Хикс С.</t>
  </si>
  <si>
    <t>Хикс С.</t>
  </si>
  <si>
    <t>978-5-386-14306-0</t>
  </si>
  <si>
    <t>9785386143060</t>
  </si>
  <si>
    <t>Объясняя постмодернизм</t>
  </si>
  <si>
    <t xml:space="preserve">10497780            </t>
  </si>
  <si>
    <t>Современный нигилизм. Хроника. Эспозито К.</t>
  </si>
  <si>
    <t>Эспозито К.</t>
  </si>
  <si>
    <t>978-5-386-14847-8</t>
  </si>
  <si>
    <t>9785386148478</t>
  </si>
  <si>
    <t>Современный нигилизм. Хроника</t>
  </si>
  <si>
    <t xml:space="preserve">8907490             </t>
  </si>
  <si>
    <t>Эго, или Наделенный собой. Марион Ж.-Л.</t>
  </si>
  <si>
    <t>Марион Ж.-Л.</t>
  </si>
  <si>
    <t>978-5-386-12300-0</t>
  </si>
  <si>
    <t>9785386123000</t>
  </si>
  <si>
    <t>Эго, или Наделенный собой</t>
  </si>
  <si>
    <t xml:space="preserve">11613220            </t>
  </si>
  <si>
    <t>Фигуры философии 2.0</t>
  </si>
  <si>
    <t>Анти-Эдип. Капитализм и Шизофрения. Т. 1. Делез Ж., Гваттари П.-Ф</t>
  </si>
  <si>
    <t>978-5-386-15183-6</t>
  </si>
  <si>
    <t>9785386151836</t>
  </si>
  <si>
    <t>Анти-Эдип. Капитализм и Шизофрения. Т. 1</t>
  </si>
  <si>
    <t xml:space="preserve">11092870            </t>
  </si>
  <si>
    <t>Желание психоанализа. Опыты лакановского мышления. Тупинамба Г.</t>
  </si>
  <si>
    <t>Тупинамба Г.</t>
  </si>
  <si>
    <t>978-5-386-14999-4</t>
  </si>
  <si>
    <t>9785386149994</t>
  </si>
  <si>
    <t>Желание психоанализа. Опыты лакановского мышления</t>
  </si>
  <si>
    <t xml:space="preserve">11613200            </t>
  </si>
  <si>
    <t>Невозможность социализма. Левые идеи на службе у новых элит. Давыдов Д.А.</t>
  </si>
  <si>
    <t>Давыдов Д.А.</t>
  </si>
  <si>
    <t>978-5-386-15393-9</t>
  </si>
  <si>
    <t>9785386153939</t>
  </si>
  <si>
    <t>Невозможность социализма. Левые идеи на службе у новых элит</t>
  </si>
  <si>
    <t xml:space="preserve">11844490            </t>
  </si>
  <si>
    <t>Постчеловеческое, слишком постчеловеческое. Иванченко М.</t>
  </si>
  <si>
    <t>Иванченко М.</t>
  </si>
  <si>
    <t>978-5-386-15486-8</t>
  </si>
  <si>
    <t>9785386154868</t>
  </si>
  <si>
    <t>Постчеловеческое, слишком постчеловеческое</t>
  </si>
  <si>
    <t xml:space="preserve">11613210            </t>
  </si>
  <si>
    <t>Тысяча плато. Капитализм и Шизофрения. Т. 2. Делез Ж., Гваттари П.-Ф</t>
  </si>
  <si>
    <t>978-5-386-15310-6</t>
  </si>
  <si>
    <t>9785386153106</t>
  </si>
  <si>
    <t>Тысяча плато. Капитализм и Шизофрения. Т. 2</t>
  </si>
  <si>
    <t xml:space="preserve">9366990             </t>
  </si>
  <si>
    <t>Фэнтези Барковой</t>
  </si>
  <si>
    <t>Между. Поэма в прозе по мотивам кельтской мифологии Британии. Альвдис Н. Рутиэн (А. Баркова)</t>
  </si>
  <si>
    <t>Альвдис Н. Рутиэн (А. Баркова)</t>
  </si>
  <si>
    <t>978-5-386-13615-4</t>
  </si>
  <si>
    <t>9785386136154</t>
  </si>
  <si>
    <t>Между. Поэма в прозе по мотивам кельтской мифологии Британии</t>
  </si>
  <si>
    <t xml:space="preserve">11339120            </t>
  </si>
  <si>
    <t>Цветная империя</t>
  </si>
  <si>
    <t>Европа глазами Прокудина-Горского. Прокудин-Горский С.М., Лобанков К.</t>
  </si>
  <si>
    <t>Прокудин-Горский С.М., Лобанков К.</t>
  </si>
  <si>
    <t>978-5-386-15205-5</t>
  </si>
  <si>
    <t>9785386152055</t>
  </si>
  <si>
    <t>Европа глазами Прокудина-Горского</t>
  </si>
  <si>
    <t>Художественная фотография</t>
  </si>
  <si>
    <t xml:space="preserve">10945380            </t>
  </si>
  <si>
    <t>Из Европы в Азию. Прокудин-Горский С.М</t>
  </si>
  <si>
    <t>Прокудин-Горский С.М</t>
  </si>
  <si>
    <t>978-5-386-15007-5</t>
  </si>
  <si>
    <t>9785386150075</t>
  </si>
  <si>
    <t>Из Европы в Азию</t>
  </si>
  <si>
    <t xml:space="preserve">11213370            </t>
  </si>
  <si>
    <t>Лица империи. Прокудин-Горский С.М., Галаганова Л.</t>
  </si>
  <si>
    <t>Прокудин-Горский С.М., Галаганова Л.</t>
  </si>
  <si>
    <t>978-5-386-15134-8</t>
  </si>
  <si>
    <t>9785386151348</t>
  </si>
  <si>
    <t>Лица империи</t>
  </si>
  <si>
    <t xml:space="preserve">11264620            </t>
  </si>
  <si>
    <t>Монохромная Россия: фотограф Сергей Михайлович Прокудин-Горский. Прокудин-Горский С.М.</t>
  </si>
  <si>
    <t>Прокудин-Горский С.М.</t>
  </si>
  <si>
    <t>978-5-386-15180-5</t>
  </si>
  <si>
    <t>9785386151805</t>
  </si>
  <si>
    <t>Монохромная Россия: фотограф Сергей Михайлович Прокудин-Горский</t>
  </si>
  <si>
    <t xml:space="preserve">11775720            </t>
  </si>
  <si>
    <t>Портреты эпохи. Лидский В., Наппельбаум М.С</t>
  </si>
  <si>
    <t>Лидский В., Наппельбаум М.С</t>
  </si>
  <si>
    <t>978-5-386-15300-7</t>
  </si>
  <si>
    <t>9785386153007</t>
  </si>
  <si>
    <t>Портреты эпохи</t>
  </si>
  <si>
    <t xml:space="preserve">11116470            </t>
  </si>
  <si>
    <t>Россия, которой нет. Прокудин-Горский С.М.</t>
  </si>
  <si>
    <t>978-5-386-15121-8</t>
  </si>
  <si>
    <t>9785386151218</t>
  </si>
  <si>
    <t>Россия, которой нет</t>
  </si>
  <si>
    <t xml:space="preserve">9379070             </t>
  </si>
  <si>
    <t>Цветная империя. Россия до потрясений. Фотограф Прокудин-Горский С.М.: фотоальбом. Прокудин-Горский С.М.</t>
  </si>
  <si>
    <t>978-5-386-13678-9</t>
  </si>
  <si>
    <t>9785386136789</t>
  </si>
  <si>
    <t>Цветная империя. Россия до потрясений. Фотограф Прокудин-Горский С.М.: фотоальбом</t>
  </si>
  <si>
    <t xml:space="preserve">11572440            </t>
  </si>
  <si>
    <t>Читальный зал</t>
  </si>
  <si>
    <t>1000 русских пословиц и поговорок. Даль В.И.</t>
  </si>
  <si>
    <t>Даль В.И.</t>
  </si>
  <si>
    <t>978-5-386-15378-6</t>
  </si>
  <si>
    <t>9785386153786</t>
  </si>
  <si>
    <t>1000 русских пословиц и поговорок</t>
  </si>
  <si>
    <t>Пословицы. Поговорки</t>
  </si>
  <si>
    <t xml:space="preserve">11674850            </t>
  </si>
  <si>
    <t>978-5-386-15400-4</t>
  </si>
  <si>
    <t>9785386154004</t>
  </si>
  <si>
    <t xml:space="preserve">11388120            </t>
  </si>
  <si>
    <t>978-5-386-15212-3</t>
  </si>
  <si>
    <t>9785386152123</t>
  </si>
  <si>
    <t xml:space="preserve">11572450            </t>
  </si>
  <si>
    <t>48 законов власти. Краткая версия. Грин Р.</t>
  </si>
  <si>
    <t>978-5-386-15379-3</t>
  </si>
  <si>
    <t>9785386153793</t>
  </si>
  <si>
    <t>48 законов власти. Краткая версия</t>
  </si>
  <si>
    <t xml:space="preserve">11674840            </t>
  </si>
  <si>
    <t>Ведьма. Мишле Ж.</t>
  </si>
  <si>
    <t>Мишле Ж.</t>
  </si>
  <si>
    <t>978-5-386-15383-0</t>
  </si>
  <si>
    <t>9785386153830</t>
  </si>
  <si>
    <t>Ведьма</t>
  </si>
  <si>
    <t xml:space="preserve">11498810            </t>
  </si>
  <si>
    <t>Выбранные места из переписки с друзьями. Гоголь Н.В.</t>
  </si>
  <si>
    <t>978-5-386-15004-4</t>
  </si>
  <si>
    <t>9785386150044</t>
  </si>
  <si>
    <t>Выбранные места из переписки с друзьями</t>
  </si>
  <si>
    <t xml:space="preserve">11491590            </t>
  </si>
  <si>
    <t>Жизнь есть сон. Кальдерон де ла Барка П</t>
  </si>
  <si>
    <t>Кальдерон де ла Барка П</t>
  </si>
  <si>
    <t>978-5-386-15297-0</t>
  </si>
  <si>
    <t>9785386152970</t>
  </si>
  <si>
    <t>Жизнь есть сон</t>
  </si>
  <si>
    <t xml:space="preserve">11610330            </t>
  </si>
  <si>
    <t>Жизнь. Мопассан Г.</t>
  </si>
  <si>
    <t>Мопассан Г.</t>
  </si>
  <si>
    <t>978-5-386-15367-0</t>
  </si>
  <si>
    <t>9785386153670</t>
  </si>
  <si>
    <t xml:space="preserve">11610310            </t>
  </si>
  <si>
    <t>Исповедь. Толстой Л.Н.</t>
  </si>
  <si>
    <t>978-5-386-15394-6</t>
  </si>
  <si>
    <t>9785386153946</t>
  </si>
  <si>
    <t>Исповедь</t>
  </si>
  <si>
    <t xml:space="preserve">11708610            </t>
  </si>
  <si>
    <t>Мартин Иден. Лондон Дж.</t>
  </si>
  <si>
    <t>Лондон Дж.</t>
  </si>
  <si>
    <t>978-5-386-15398-4</t>
  </si>
  <si>
    <t>9785386153984</t>
  </si>
  <si>
    <t>Мартин Иден</t>
  </si>
  <si>
    <t xml:space="preserve">11746610            </t>
  </si>
  <si>
    <t>Москва и москвичи. Гиляровский В.А.</t>
  </si>
  <si>
    <t>Гиляровский В.А.</t>
  </si>
  <si>
    <t>978-5-386-15384-7</t>
  </si>
  <si>
    <t>9785386153847</t>
  </si>
  <si>
    <t>Москва и москвичи</t>
  </si>
  <si>
    <t xml:space="preserve">11610300            </t>
  </si>
  <si>
    <t>Моя жизнь. Чехов А.П.</t>
  </si>
  <si>
    <t>978-5-386-15395-3</t>
  </si>
  <si>
    <t>9785386153953</t>
  </si>
  <si>
    <t>Моя жизнь</t>
  </si>
  <si>
    <t xml:space="preserve">11476230            </t>
  </si>
  <si>
    <t>Поэзия и правда. Из моей жизни. Гете И.В.</t>
  </si>
  <si>
    <t>Гете И.В.</t>
  </si>
  <si>
    <t>978-5-386-15241-3</t>
  </si>
  <si>
    <t>9785386152413</t>
  </si>
  <si>
    <t>Поэзия и правда. Из моей жизни</t>
  </si>
  <si>
    <t xml:space="preserve">11388100            </t>
  </si>
  <si>
    <t>Речи бунтовщика. Кропоткин П.А.</t>
  </si>
  <si>
    <t>Кропоткин П.А.</t>
  </si>
  <si>
    <t>978-5-386-15213-0</t>
  </si>
  <si>
    <t>9785386152130</t>
  </si>
  <si>
    <t>Речи бунтовщика</t>
  </si>
  <si>
    <t xml:space="preserve">11641960            </t>
  </si>
  <si>
    <t>Собачье сердце. Булгаков М.А</t>
  </si>
  <si>
    <t>978-5-386-15415-8</t>
  </si>
  <si>
    <t>9785386154158</t>
  </si>
  <si>
    <t>Собачье сердце</t>
  </si>
  <si>
    <t xml:space="preserve">11492880            </t>
  </si>
  <si>
    <t>Так говорил Заратустра. Ницше Ф.В.</t>
  </si>
  <si>
    <t>Ницше Ф.В.</t>
  </si>
  <si>
    <t>978-5-386-15225-3</t>
  </si>
  <si>
    <t>9785386152253</t>
  </si>
  <si>
    <t>Так говорил Заратустра</t>
  </si>
  <si>
    <t xml:space="preserve">11744250            </t>
  </si>
  <si>
    <t>Темные аллеи. Бунин И.А.</t>
  </si>
  <si>
    <t>Бунин И.А.</t>
  </si>
  <si>
    <t>978-5-386-15453-0</t>
  </si>
  <si>
    <t>9785386154530</t>
  </si>
  <si>
    <t>Темные аллеи</t>
  </si>
  <si>
    <t>Литература русского зарубежья (1917-1990 гг.)</t>
  </si>
  <si>
    <t xml:space="preserve">11501870            </t>
  </si>
  <si>
    <t>978-5-386-15299-4</t>
  </si>
  <si>
    <t>9785386152994</t>
  </si>
  <si>
    <t xml:space="preserve">11746760            </t>
  </si>
  <si>
    <t>Хижина дяди Тома. Бичер-Стоу Г.</t>
  </si>
  <si>
    <t>Бичер-Стоу Г.</t>
  </si>
  <si>
    <t>978-5-386-15399-1</t>
  </si>
  <si>
    <t>9785386153991</t>
  </si>
  <si>
    <t>Хижина дяди Тома</t>
  </si>
  <si>
    <t xml:space="preserve">11742560            </t>
  </si>
  <si>
    <t>Что делать?. Чернышевский Н.Г.</t>
  </si>
  <si>
    <t>Чернышевский Н.Г.</t>
  </si>
  <si>
    <t>978-5-386-15451-6</t>
  </si>
  <si>
    <t>9785386154516</t>
  </si>
  <si>
    <t>Что делать?</t>
  </si>
  <si>
    <t xml:space="preserve">11645610            </t>
  </si>
  <si>
    <t>Эротика. Саломе Л.</t>
  </si>
  <si>
    <t>978-5-386-15414-1</t>
  </si>
  <si>
    <t>9785386154141</t>
  </si>
  <si>
    <t>Эротика</t>
  </si>
  <si>
    <t xml:space="preserve">11592280            </t>
  </si>
  <si>
    <t>Этика. Спиноза Б.</t>
  </si>
  <si>
    <t>Спиноза Б.</t>
  </si>
  <si>
    <t>978-5-386-15388-5</t>
  </si>
  <si>
    <t>9785386153885</t>
  </si>
  <si>
    <t xml:space="preserve">7879290             </t>
  </si>
  <si>
    <t>Что почитать?</t>
  </si>
  <si>
    <t>Счастье. Ключарева Н.Л.</t>
  </si>
  <si>
    <t>Ключарева Н.Л.</t>
  </si>
  <si>
    <t>978-5-386-09593-2</t>
  </si>
  <si>
    <t>9785386095932</t>
  </si>
  <si>
    <t>Счастье</t>
  </si>
  <si>
    <t xml:space="preserve">10209580            </t>
  </si>
  <si>
    <t>Шедевры исторического детектива</t>
  </si>
  <si>
    <t>Выкуп за мертвеца: роман. Питерс Э</t>
  </si>
  <si>
    <t>978-5-386-12896-8</t>
  </si>
  <si>
    <t>9785386128968</t>
  </si>
  <si>
    <t>Выкуп за мертвеца: роман</t>
  </si>
  <si>
    <t xml:space="preserve">10556700            </t>
  </si>
  <si>
    <t>Исповедь монаха: роман. Питерс Э</t>
  </si>
  <si>
    <t>978-5-386-14832-4</t>
  </si>
  <si>
    <t>9785386148324</t>
  </si>
  <si>
    <t>Исповедь монаха: роман</t>
  </si>
  <si>
    <t xml:space="preserve">9857540             </t>
  </si>
  <si>
    <t>Монаший капюшон: роман. Питерс Э</t>
  </si>
  <si>
    <t>978-5-386-12865-4</t>
  </si>
  <si>
    <t>9785386128654</t>
  </si>
  <si>
    <t>Монаший капюшон: роман</t>
  </si>
  <si>
    <t xml:space="preserve">9857640             </t>
  </si>
  <si>
    <t>Один лишний труп: роман. Питерс Э</t>
  </si>
  <si>
    <t>978-5-386-12864-7</t>
  </si>
  <si>
    <t>9785386128647</t>
  </si>
  <si>
    <t>Один лишний труп: роман</t>
  </si>
  <si>
    <t xml:space="preserve">9929610             </t>
  </si>
  <si>
    <t>Погребенная во льдах: роман. Питерс Э</t>
  </si>
  <si>
    <t>978-5-386-12875-3</t>
  </si>
  <si>
    <t>9785386128753</t>
  </si>
  <si>
    <t>Погребенная во льдах: роман</t>
  </si>
  <si>
    <t xml:space="preserve">10493090            </t>
  </si>
  <si>
    <t>Роза в уплату: роман. Питерс Э</t>
  </si>
  <si>
    <t>978-5-386-14736-5</t>
  </si>
  <si>
    <t>9785386147365</t>
  </si>
  <si>
    <t>Роза в уплату: роман</t>
  </si>
  <si>
    <t xml:space="preserve">10232280            </t>
  </si>
  <si>
    <t>Роковой обет: роман. Питерс Э</t>
  </si>
  <si>
    <t>978-5-386-12897-5</t>
  </si>
  <si>
    <t>9785386128975</t>
  </si>
  <si>
    <t>Роковой обет: роман</t>
  </si>
  <si>
    <t xml:space="preserve">10362120            </t>
  </si>
  <si>
    <t>Сокровенное таинство: роман. Питерс Э</t>
  </si>
  <si>
    <t>978-5-386-12901-9</t>
  </si>
  <si>
    <t>9785386129019</t>
  </si>
  <si>
    <t>Сокровенное таинство: роман</t>
  </si>
  <si>
    <t xml:space="preserve">10492440            </t>
  </si>
  <si>
    <t>Эйтонский отшельник: роман. Питерс Э</t>
  </si>
  <si>
    <t>978-5-386-14743-3</t>
  </si>
  <si>
    <t>9785386147433</t>
  </si>
  <si>
    <t>Эйтонский отшельник: роман</t>
  </si>
  <si>
    <t xml:space="preserve">9595520             </t>
  </si>
  <si>
    <t>Школа здоровья</t>
  </si>
  <si>
    <t>Танец жизни против рака. Эрел Дж.</t>
  </si>
  <si>
    <t>Эрел Дж.</t>
  </si>
  <si>
    <t>978-5-386-13860-8</t>
  </si>
  <si>
    <t>9785386138608</t>
  </si>
  <si>
    <t>Танец жизни против рака</t>
  </si>
  <si>
    <t xml:space="preserve">11520920            </t>
  </si>
  <si>
    <t>Школа цифрового психоанализа</t>
  </si>
  <si>
    <t>Большая книга нумерологии. Александров А.Ф.</t>
  </si>
  <si>
    <t>978-5-386-15321-2</t>
  </si>
  <si>
    <t>9785386153212</t>
  </si>
  <si>
    <t>Большая книга нумерологии</t>
  </si>
  <si>
    <t>11782510</t>
  </si>
  <si>
    <t>Цифровой прогноз. 2025 год; Цифровой прогноз. 2025 год: Ежедневник (комплект из 2-х книг). Александрова А.</t>
  </si>
  <si>
    <t>978-5-8853-6995-4</t>
  </si>
  <si>
    <t>9785885369954</t>
  </si>
  <si>
    <t>Цифровой прогноз. 2025 год; Цифровой прогноз. 2025 год: Ежедневник (комплект из 2-х книг)</t>
  </si>
  <si>
    <t xml:space="preserve">9612360             </t>
  </si>
  <si>
    <t>Школьная библиотека историй и приключений</t>
  </si>
  <si>
    <t>Каникулы Петрова и Васечкина. Алеников В.М.</t>
  </si>
  <si>
    <t>978-5-386-13808-0</t>
  </si>
  <si>
    <t>9785386138080</t>
  </si>
  <si>
    <t>Каникулы Петрова и Васечкина</t>
  </si>
  <si>
    <t xml:space="preserve">11012580            </t>
  </si>
  <si>
    <t>Школьная программа</t>
  </si>
  <si>
    <t>Барбос и Жулька: рассказы. Куприн А.И.</t>
  </si>
  <si>
    <t>Куприн А.И.</t>
  </si>
  <si>
    <t>978-5-386-15080-8</t>
  </si>
  <si>
    <t>9785386150808</t>
  </si>
  <si>
    <t>Барбос и Жулька: рассказы</t>
  </si>
  <si>
    <t xml:space="preserve">11012660            </t>
  </si>
  <si>
    <t>Вечера на хуторе близ Диканьки: избранное. Гоголь Н.В.</t>
  </si>
  <si>
    <t>978-5-386-15079-2</t>
  </si>
  <si>
    <t>9785386150792</t>
  </si>
  <si>
    <t>Вечера на хуторе близ Диканьки: избранное</t>
  </si>
  <si>
    <t xml:space="preserve">11012590            </t>
  </si>
  <si>
    <t>Иркутская история: пьесы. Арбузов А.Н.</t>
  </si>
  <si>
    <t>Арбузов А.Н.</t>
  </si>
  <si>
    <t>978-5-386-15083-9</t>
  </si>
  <si>
    <t>9785386150839</t>
  </si>
  <si>
    <t>Иркутская история: пьесы</t>
  </si>
  <si>
    <t xml:space="preserve">11012650            </t>
  </si>
  <si>
    <t>Русская классика для детей. Пушкин А.С., Лермонтов М.Ю., Крылов И.А</t>
  </si>
  <si>
    <t>Пушкин А.С., Лермонтов М.Ю., Крылов И.А</t>
  </si>
  <si>
    <t>978-5-386-15082-2</t>
  </si>
  <si>
    <t>9785386150822</t>
  </si>
  <si>
    <t>Русская классика для детей</t>
  </si>
  <si>
    <t>Сборники. Хрестоматии</t>
  </si>
  <si>
    <t xml:space="preserve">11012430            </t>
  </si>
  <si>
    <t>Чудесный доктор: рассказы. Куприн А.И.</t>
  </si>
  <si>
    <t>978-5-386-15081-5</t>
  </si>
  <si>
    <t>9785386150815</t>
  </si>
  <si>
    <t>Чудесный доктор: рассказы</t>
  </si>
  <si>
    <t xml:space="preserve">9706720             </t>
  </si>
  <si>
    <t>Экономика и власть</t>
  </si>
  <si>
    <t>978-5-386-14060-1</t>
  </si>
  <si>
    <t>9785386140601</t>
  </si>
  <si>
    <t xml:space="preserve">8433250             </t>
  </si>
  <si>
    <t>Элизабет Гилберт</t>
  </si>
  <si>
    <t>978-5-386-10553-2</t>
  </si>
  <si>
    <t>9785386105532</t>
  </si>
  <si>
    <t xml:space="preserve">7917800             </t>
  </si>
  <si>
    <t>Есть, молиться, любить "The New York Times" (пер.). Гилберт Э.</t>
  </si>
  <si>
    <t>978-5-386-09655-7</t>
  </si>
  <si>
    <t>9785386096557</t>
  </si>
  <si>
    <t>Есть, молиться, любить "The New York Times" (пер.)</t>
  </si>
  <si>
    <t xml:space="preserve">9196400             </t>
  </si>
  <si>
    <t>Юфь</t>
  </si>
  <si>
    <t>Больше, чем я. Уикс С.</t>
  </si>
  <si>
    <t>Уикс С.</t>
  </si>
  <si>
    <t>978-5-386-13490-7</t>
  </si>
  <si>
    <t>9785386134907</t>
  </si>
  <si>
    <t>Больше, чем я</t>
  </si>
  <si>
    <t xml:space="preserve">10724680            </t>
  </si>
  <si>
    <t>Ящик Пандоры</t>
  </si>
  <si>
    <t>Мир крови. Муни К.</t>
  </si>
  <si>
    <t>Муни К.</t>
  </si>
  <si>
    <t>978-5-386-14914-7</t>
  </si>
  <si>
    <t>9785386149147</t>
  </si>
  <si>
    <t>Мир крови</t>
  </si>
  <si>
    <t>7692560</t>
  </si>
  <si>
    <t>Lyceum</t>
  </si>
  <si>
    <t>После-словия. Лапицкий В.</t>
  </si>
  <si>
    <t>Лапицкий В.</t>
  </si>
  <si>
    <t>Книга по требованию</t>
  </si>
  <si>
    <t>978-5-521-00012-8</t>
  </si>
  <si>
    <t>9785521000128</t>
  </si>
  <si>
    <t>После-словия</t>
  </si>
  <si>
    <t>7692530</t>
  </si>
  <si>
    <t>Шекспировы сонеты, или Игра в Игре. Степанов С.А.</t>
  </si>
  <si>
    <t>Степанов С.А.</t>
  </si>
  <si>
    <t>978-5-521-00009-8</t>
  </si>
  <si>
    <t>9785521000098</t>
  </si>
  <si>
    <t>Шекспировы сонеты, или Игра в Игре</t>
  </si>
  <si>
    <t>7924260</t>
  </si>
  <si>
    <t>Россия и Запад на качелях истории: От Рюрика до Екатерины II. Романов П.В.</t>
  </si>
  <si>
    <t>Романов П.В.</t>
  </si>
  <si>
    <t>84х108/35</t>
  </si>
  <si>
    <t>978-5-521-00235-1</t>
  </si>
  <si>
    <t>9785521002351</t>
  </si>
  <si>
    <t>Россия и Запад на качелях истории: От Рюрика до Екатерины II</t>
  </si>
  <si>
    <t>8426660</t>
  </si>
  <si>
    <t>Малые сочинения. Винкельман И.И.</t>
  </si>
  <si>
    <t>Винкельман И.И.</t>
  </si>
  <si>
    <t>978-5-521-00797-4</t>
  </si>
  <si>
    <t>9785521007974</t>
  </si>
  <si>
    <t>Малые сочинения</t>
  </si>
  <si>
    <t>8488670</t>
  </si>
  <si>
    <t>Судьба нерезидента. Новейшая история в зеркале биографии. Остальский А.В.</t>
  </si>
  <si>
    <t>978-5-521-00861-2</t>
  </si>
  <si>
    <t>9785521008612</t>
  </si>
  <si>
    <t>Судьба нерезидента. Новейшая история в зеркале биографии</t>
  </si>
  <si>
    <t xml:space="preserve">8471260             </t>
  </si>
  <si>
    <t>Популярная экономика</t>
  </si>
  <si>
    <t>Черный лебедь мирового кризиса. Хазин М.Л.</t>
  </si>
  <si>
    <t>978-5-521-00946-6</t>
  </si>
  <si>
    <t>9785521009466</t>
  </si>
  <si>
    <t>Черный лебедь мирового кризиса</t>
  </si>
  <si>
    <t>8111480</t>
  </si>
  <si>
    <t>Собрание сочинений. В 8 т. Т. 3: Человек-амфибия. Подводные земледельцы. Беляев А.Р.</t>
  </si>
  <si>
    <t>Беляев А.Р.</t>
  </si>
  <si>
    <t>978-5-521-00389-1</t>
  </si>
  <si>
    <t>9785521003891</t>
  </si>
  <si>
    <t>Собрание сочинений. В 8 т. Т. 3: Человек-амфибия. Подводные земледельцы</t>
  </si>
  <si>
    <t xml:space="preserve">8206110             </t>
  </si>
  <si>
    <t>Единственная радость: стихотворения. Роман (Матюшин-Правдин), иеромонах</t>
  </si>
  <si>
    <t>Роман (Матюшин-Правдин), иеромонах</t>
  </si>
  <si>
    <t>978-5-521-00659-5</t>
  </si>
  <si>
    <t>9785521006595</t>
  </si>
  <si>
    <t>Единственная радость: стихотворения</t>
  </si>
  <si>
    <t>Духовная литература</t>
  </si>
  <si>
    <t>Православие</t>
  </si>
  <si>
    <t xml:space="preserve">9455040             </t>
  </si>
  <si>
    <t>978-5-386-13724-3</t>
  </si>
  <si>
    <t>9785386137243</t>
  </si>
  <si>
    <t xml:space="preserve">7548470             </t>
  </si>
  <si>
    <t>Коран (зеленый). Перевод смыслов и комментарии Иман Валерии Пороховой. 19-е изд. Гл. ред. Мухаммад Саид Аль-Рошд</t>
  </si>
  <si>
    <t>978-5-386-09244-3</t>
  </si>
  <si>
    <t>9785386092443</t>
  </si>
  <si>
    <t>Коран (зеленый). Перевод смыслов и комментарии Иман Валерии Пороховой. 19-е изд</t>
  </si>
  <si>
    <t xml:space="preserve">10739180            </t>
  </si>
  <si>
    <t>Кораническая цитата. Тематический справочник с краткими комментариями. Оганесян С.С., Хаади Т.А.</t>
  </si>
  <si>
    <t>978-5-386-14933-8</t>
  </si>
  <si>
    <t>9785386149338</t>
  </si>
  <si>
    <t>Кораническая цитата. Тематический справочник с краткими комментариями</t>
  </si>
  <si>
    <t xml:space="preserve">10451600            </t>
  </si>
  <si>
    <t>Коран в переводе Пороховой В. ПОДАРОЧНОЕ ИЗДАНИЕ</t>
  </si>
  <si>
    <t>Хадисы Пророка. Перевод и комментарии Валерии Пороховой. 4-е изд. (зеленая., золот. тиснен.). Гл. ред. Мухаммад Саид Аль-Рошд</t>
  </si>
  <si>
    <t>978-5-386-14796-9</t>
  </si>
  <si>
    <t>9785386147969</t>
  </si>
  <si>
    <t>Хадисы Пророка. Перевод и комментарии Валерии Пороховой. 4-е изд. (зеленая., золот. тиснен.)</t>
  </si>
  <si>
    <t xml:space="preserve">8729470             </t>
  </si>
  <si>
    <t>Православный бестселлер</t>
  </si>
  <si>
    <t>Благословите женщину. Идеал женственности. Кн. 2. Сост. Зоберн В.</t>
  </si>
  <si>
    <t>Сост. Зоберн В.</t>
  </si>
  <si>
    <t>978-5-386-10817-5</t>
  </si>
  <si>
    <t>9785386108175</t>
  </si>
  <si>
    <t>Благословите женщину. Идеал женственности. Кн. 2</t>
  </si>
  <si>
    <t xml:space="preserve">8919070             </t>
  </si>
  <si>
    <t>Матронушка. Роман о любимой святой. Ордынская И.Н.</t>
  </si>
  <si>
    <t>Ордынская И.Н.</t>
  </si>
  <si>
    <t>Твердо</t>
  </si>
  <si>
    <t>978-5-386-12204-1</t>
  </si>
  <si>
    <t>9785386122041</t>
  </si>
  <si>
    <t>Матронушка. Роман о любимой святой</t>
  </si>
  <si>
    <t>Гриф Допущено к Изд.советом РПЦ</t>
  </si>
  <si>
    <t xml:space="preserve">11541290            </t>
  </si>
  <si>
    <t>Бесчестье; В ожидании варваров; Жизнь и время Михаэла К. (комплект из 3-х книг). Кутзее Дж.М.</t>
  </si>
  <si>
    <t>Кутзее Дж.М.</t>
  </si>
  <si>
    <t>Дом историй</t>
  </si>
  <si>
    <t>978-5-521-82892-0</t>
  </si>
  <si>
    <t>9785521828920</t>
  </si>
  <si>
    <t>Бесчестье; В ожидании варваров; Жизнь и время Михаэла К. (комплект из 3-х книг)</t>
  </si>
  <si>
    <t xml:space="preserve">11541280            </t>
  </si>
  <si>
    <t>Бесчестье; В ожидании варваров; Осень в Петербурге (комплект из 3-х книг). Кутзее Дж.М.</t>
  </si>
  <si>
    <t>978-5-521-82848-7</t>
  </si>
  <si>
    <t>9785521828487</t>
  </si>
  <si>
    <t>Бесчестье; В ожидании варваров; Осень в Петербурге (комплект из 3-х книг)</t>
  </si>
  <si>
    <t>12054380</t>
  </si>
  <si>
    <t>Ведьмин ресторан; Оккультриелтор (комплект из 2-х книг). Ку Санхи, Цзян Тай-юй</t>
  </si>
  <si>
    <t>Ку Санхи, Цзян Тай-юй</t>
  </si>
  <si>
    <t>978-5-8853-9279-2</t>
  </si>
  <si>
    <t>9785885392792</t>
  </si>
  <si>
    <t>Ведьмин ресторан; Оккультриелтор (комплект из 2-х книг)</t>
  </si>
  <si>
    <t>12095200</t>
  </si>
  <si>
    <t>Да хранят тебя боги + блокнот. Рябова А.</t>
  </si>
  <si>
    <t>Рябова А.</t>
  </si>
  <si>
    <t>978-5-8853-9315-7</t>
  </si>
  <si>
    <t>9785885393157</t>
  </si>
  <si>
    <t>Да хранят тебя боги + блокнот</t>
  </si>
  <si>
    <t xml:space="preserve">12075740            </t>
  </si>
  <si>
    <t>Да хранят тебя боги. Рябова А.</t>
  </si>
  <si>
    <t>978-5-386-15603-9</t>
  </si>
  <si>
    <t>9785386156039</t>
  </si>
  <si>
    <t>Да хранят тебя боги</t>
  </si>
  <si>
    <t xml:space="preserve">11954500            </t>
  </si>
  <si>
    <t>Калинов мост (эксклюзив). Пронин А., Пронина Е.</t>
  </si>
  <si>
    <t>Пронин А., Пронина Е.</t>
  </si>
  <si>
    <t>978-5-386-15561-2</t>
  </si>
  <si>
    <t>9785386155612</t>
  </si>
  <si>
    <t>Калинов мост (эксклюзив)</t>
  </si>
  <si>
    <t xml:space="preserve">11956490            </t>
  </si>
  <si>
    <t>Калинов мост (эксклюзив, альтернативное издание). Пронин А., Пронина Е.</t>
  </si>
  <si>
    <t>978-5-386-15562-9</t>
  </si>
  <si>
    <t>9785386155629</t>
  </si>
  <si>
    <t>Калинов мост (эксклюзив, альтернативное издание)</t>
  </si>
  <si>
    <t>11757510</t>
  </si>
  <si>
    <t>Клуб любителей искусства и расследований; Руководство для начинающего детектива-реставратора (комплект из 2-х книг). Экклстон М.</t>
  </si>
  <si>
    <t>Экклстон М.</t>
  </si>
  <si>
    <t>978-5-8853-6771-4</t>
  </si>
  <si>
    <t>9785885367714</t>
  </si>
  <si>
    <t>Клуб любителей искусства и расследований; Руководство для начинающего детектива-реставратора (комплект из 2-х книг)</t>
  </si>
  <si>
    <t xml:space="preserve">11541480            </t>
  </si>
  <si>
    <t>Книготорговец из Кабула. Сейерстад О.</t>
  </si>
  <si>
    <t>Сейерстад О.</t>
  </si>
  <si>
    <t>978-5-0058-0417-4</t>
  </si>
  <si>
    <t>9785005804174</t>
  </si>
  <si>
    <t>Книготорговец из Кабула</t>
  </si>
  <si>
    <t xml:space="preserve">11856800            </t>
  </si>
  <si>
    <t>Копия неверна. Дыбовская Т.В.</t>
  </si>
  <si>
    <t>Дыбовская Т.В.</t>
  </si>
  <si>
    <t>978-5-0058-0912-4</t>
  </si>
  <si>
    <t>9785005809124</t>
  </si>
  <si>
    <t>Копия неверна</t>
  </si>
  <si>
    <t xml:space="preserve">11541320            </t>
  </si>
  <si>
    <t>Кровавое ранчо; Мертвые цветы; Смертельное свидание (комплект из 3-х книг). Худ Д.К.</t>
  </si>
  <si>
    <t>Худ Д.К.</t>
  </si>
  <si>
    <t>978-5-521-82991-0</t>
  </si>
  <si>
    <t>9785521829910</t>
  </si>
  <si>
    <t>Кровавое ранчо; Мертвые цветы; Смертельное свидание (комплект из 3-х книг)</t>
  </si>
  <si>
    <t xml:space="preserve">11694040            </t>
  </si>
  <si>
    <t>Мое убийство. Уильямс К.</t>
  </si>
  <si>
    <t>Уильямс К.</t>
  </si>
  <si>
    <t>978-5-0058-0636-9</t>
  </si>
  <si>
    <t>9785005806369</t>
  </si>
  <si>
    <t>Мое убийство</t>
  </si>
  <si>
    <t xml:space="preserve">11659740            </t>
  </si>
  <si>
    <t>Совушка. Ошецки К.</t>
  </si>
  <si>
    <t>Ошецки К.</t>
  </si>
  <si>
    <t>978-5-0058-0642-0</t>
  </si>
  <si>
    <t>9785005806420</t>
  </si>
  <si>
    <t>Совушка</t>
  </si>
  <si>
    <t xml:space="preserve">11540920            </t>
  </si>
  <si>
    <t>Я знаю, что вы сделали прошлым летом. Дункан Л.</t>
  </si>
  <si>
    <t>Дункан Л.</t>
  </si>
  <si>
    <t>978-5-0058-0163-0</t>
  </si>
  <si>
    <t>9785005801630</t>
  </si>
  <si>
    <t>Я знаю, что вы сделали прошлым летом</t>
  </si>
  <si>
    <t xml:space="preserve">12050580            </t>
  </si>
  <si>
    <t>Антресоли: классика высшего уровня</t>
  </si>
  <si>
    <t>Дом профессора. Кэсер У.С.</t>
  </si>
  <si>
    <t>Кэсер У.С.</t>
  </si>
  <si>
    <t>978-5-0058-1001-4</t>
  </si>
  <si>
    <t>9785005810014</t>
  </si>
  <si>
    <t>Дом профессора</t>
  </si>
  <si>
    <t xml:space="preserve">11919820            </t>
  </si>
  <si>
    <t>О пионеры!. Кэсер У.С.</t>
  </si>
  <si>
    <t>978-5-0058-0873-8</t>
  </si>
  <si>
    <t>9785005808738</t>
  </si>
  <si>
    <t>О пионеры!</t>
  </si>
  <si>
    <t xml:space="preserve">11708580            </t>
  </si>
  <si>
    <t>Песня жаворонка. Кэсер У.С</t>
  </si>
  <si>
    <t>Кэсер У.С</t>
  </si>
  <si>
    <t>978-5-0058-0648-2</t>
  </si>
  <si>
    <t>9785005806482</t>
  </si>
  <si>
    <t>Песня жаворонка</t>
  </si>
  <si>
    <t xml:space="preserve">11540840            </t>
  </si>
  <si>
    <t>Блэк-Рок-Фоллз</t>
  </si>
  <si>
    <t>Кровавое ранчо. Худ Д.К.</t>
  </si>
  <si>
    <t>978-5-0058-0069-5</t>
  </si>
  <si>
    <t>9785005800695</t>
  </si>
  <si>
    <t>Кровавое ранчо</t>
  </si>
  <si>
    <t xml:space="preserve">11541010            </t>
  </si>
  <si>
    <t>Кровавое ранчо; Мертвые цветы (комплект из 2-х книг). Худ Д.К.</t>
  </si>
  <si>
    <t>978-5-521-80819-9</t>
  </si>
  <si>
    <t>9785521808199</t>
  </si>
  <si>
    <t>Кровавое ранчо; Мертвые цветы (комплект из 2-х книг)</t>
  </si>
  <si>
    <t xml:space="preserve">11540930            </t>
  </si>
  <si>
    <t>Мертвые цветы. Худ Д.К.</t>
  </si>
  <si>
    <t>978-5-0058-0161-6</t>
  </si>
  <si>
    <t>9785005801616</t>
  </si>
  <si>
    <t>Мертвые цветы</t>
  </si>
  <si>
    <t xml:space="preserve">11541250            </t>
  </si>
  <si>
    <t>Смертельное свидание. Худ Д.К.</t>
  </si>
  <si>
    <t>978-5-0058-0370-2</t>
  </si>
  <si>
    <t>9785005803702</t>
  </si>
  <si>
    <t>Смертельное свидание</t>
  </si>
  <si>
    <t xml:space="preserve">11930690            </t>
  </si>
  <si>
    <t>Борьба за корону</t>
  </si>
  <si>
    <t>Борьба за корону: Зимние странники. Клементс Т</t>
  </si>
  <si>
    <t>Клементс Т</t>
  </si>
  <si>
    <t>978-5-0058-0944-5</t>
  </si>
  <si>
    <t>9785005809445</t>
  </si>
  <si>
    <t>Борьба за корону: Зимние странники</t>
  </si>
  <si>
    <t xml:space="preserve">11541340            </t>
  </si>
  <si>
    <t>Галерея: семейные саги</t>
  </si>
  <si>
    <t>Десять поколений. Арфуди Б.</t>
  </si>
  <si>
    <t>Арфуди Б.</t>
  </si>
  <si>
    <t>978-5-0058-0447-1</t>
  </si>
  <si>
    <t>9785005804471</t>
  </si>
  <si>
    <t>Десять поколений</t>
  </si>
  <si>
    <t xml:space="preserve">12015850            </t>
  </si>
  <si>
    <t>Книга извечных ценностей. Малхотра А.</t>
  </si>
  <si>
    <t>Малхотра А.</t>
  </si>
  <si>
    <t>978-5-0058-0968-1</t>
  </si>
  <si>
    <t>9785005809681</t>
  </si>
  <si>
    <t>Книга извечных ценностей</t>
  </si>
  <si>
    <t xml:space="preserve">12039020            </t>
  </si>
  <si>
    <t>Пока не высохнет земля. Муньес Ф.Х.</t>
  </si>
  <si>
    <t>Муньес Ф.Х.</t>
  </si>
  <si>
    <t>978-5-0058-0657-4</t>
  </si>
  <si>
    <t>9785005806574</t>
  </si>
  <si>
    <t>Пока не высохнет земля</t>
  </si>
  <si>
    <t xml:space="preserve">11739090            </t>
  </si>
  <si>
    <t>Сад в Суффолке. Сойер К.</t>
  </si>
  <si>
    <t>Сойер К.</t>
  </si>
  <si>
    <t>978-5-0058-0825-7</t>
  </si>
  <si>
    <t>9785005808257</t>
  </si>
  <si>
    <t>Сад в Суффолке</t>
  </si>
  <si>
    <t>11813170</t>
  </si>
  <si>
    <t>Три раны + книга в подарок: Погружение (комплект из 2-х книг). Санчес-Гарника П.</t>
  </si>
  <si>
    <t>Санчес-Гарника П.</t>
  </si>
  <si>
    <t>978-5-8853-7445-3</t>
  </si>
  <si>
    <t>9785885374453</t>
  </si>
  <si>
    <t>Три раны + книга в подарок: Погружение (комплект из 2-х книг)</t>
  </si>
  <si>
    <t xml:space="preserve">11751170            </t>
  </si>
  <si>
    <t>Три раны. Санчес-Гарника П.</t>
  </si>
  <si>
    <t>978-5-0058-0654-3</t>
  </si>
  <si>
    <t>9785005806543</t>
  </si>
  <si>
    <t>Три раны</t>
  </si>
  <si>
    <t xml:space="preserve">11625970            </t>
  </si>
  <si>
    <t>Город Чудный</t>
  </si>
  <si>
    <t>Город Чудный. Кн. 1: Воскресшие. Сталюкова Е.</t>
  </si>
  <si>
    <t>Сталюкова Е.</t>
  </si>
  <si>
    <t>978-5-0058-0633-8</t>
  </si>
  <si>
    <t>9785005806338</t>
  </si>
  <si>
    <t>Город Чудный. Кн. 1: Воскресшие</t>
  </si>
  <si>
    <t xml:space="preserve">11541100            </t>
  </si>
  <si>
    <t>Дача: романы для души</t>
  </si>
  <si>
    <t>День между пятницей и воскресеньем. Лейк И.В.</t>
  </si>
  <si>
    <t>Лейк И.В.</t>
  </si>
  <si>
    <t>978-5-0058-0253-8</t>
  </si>
  <si>
    <t>9785005802538</t>
  </si>
  <si>
    <t>День между пятницей и воскресеньем</t>
  </si>
  <si>
    <t xml:space="preserve">11571070            </t>
  </si>
  <si>
    <t>Дочери судьбы. Хайланд Т.</t>
  </si>
  <si>
    <t>Хайланд Т.</t>
  </si>
  <si>
    <t>978-5-0058-0468-6</t>
  </si>
  <si>
    <t>9785005804686</t>
  </si>
  <si>
    <t>Дочери судьбы</t>
  </si>
  <si>
    <t xml:space="preserve">11780750            </t>
  </si>
  <si>
    <t>Не сдавайся!. Тернер С.</t>
  </si>
  <si>
    <t>Тернер С.</t>
  </si>
  <si>
    <t>978-5-0058-0904-9</t>
  </si>
  <si>
    <t>9785005809049</t>
  </si>
  <si>
    <t>Не сдавайся!</t>
  </si>
  <si>
    <t xml:space="preserve">11541330            </t>
  </si>
  <si>
    <t>Черные платья. Сент-Джон М.</t>
  </si>
  <si>
    <t>Сент-Джон М.</t>
  </si>
  <si>
    <t>978-5-0058-0400-6</t>
  </si>
  <si>
    <t>9785005804006</t>
  </si>
  <si>
    <t>Черные платья</t>
  </si>
  <si>
    <t xml:space="preserve">11541300            </t>
  </si>
  <si>
    <t>Бесчестье; В ожидании варваров; Осень в Петербурге; Жизнь и время Михаэла К. (комплект из 4-х книг). Кутзее Дж.М.</t>
  </si>
  <si>
    <t>978-5-521-82902-6</t>
  </si>
  <si>
    <t>9785521829026</t>
  </si>
  <si>
    <t>Бесчестье; В ожидании варваров; Осень в Петербурге; Жизнь и время Михаэла К. (комплект из 4-х книг)</t>
  </si>
  <si>
    <t xml:space="preserve">11831250            </t>
  </si>
  <si>
    <t>Жаркая Испания: романы Фернандо Х. Муньеса</t>
  </si>
  <si>
    <t>Кухарка из Кастамара. Муньес Ф.Х.</t>
  </si>
  <si>
    <t>978-5-0058-0866-0</t>
  </si>
  <si>
    <t>9785005808660</t>
  </si>
  <si>
    <t>Кухарка из Кастамара</t>
  </si>
  <si>
    <t xml:space="preserve">11719170            </t>
  </si>
  <si>
    <t>Камин: классические детективы</t>
  </si>
  <si>
    <t>Клуб любителей искусства и расследований. Экклстон М.</t>
  </si>
  <si>
    <t>978-5-0058-0423-5</t>
  </si>
  <si>
    <t>9785005804235</t>
  </si>
  <si>
    <t>Клуб любителей искусства и расследований</t>
  </si>
  <si>
    <t xml:space="preserve">11541440            </t>
  </si>
  <si>
    <t>Крокодил на песке. Питерс Э.</t>
  </si>
  <si>
    <t>978-5-0058-0484-6</t>
  </si>
  <si>
    <t>9785005804846</t>
  </si>
  <si>
    <t>Крокодил на песке</t>
  </si>
  <si>
    <t xml:space="preserve">11964360            </t>
  </si>
  <si>
    <t>Неугомонная мумия. Питерс Э.</t>
  </si>
  <si>
    <t>978-5-0058-0857-8</t>
  </si>
  <si>
    <t>9785005808578</t>
  </si>
  <si>
    <t>Неугомонная мумия</t>
  </si>
  <si>
    <t xml:space="preserve">11779550            </t>
  </si>
  <si>
    <t>Проклятие фараона. Питерс Э.</t>
  </si>
  <si>
    <t>978-5-0058-0854-7</t>
  </si>
  <si>
    <t>9785005808547</t>
  </si>
  <si>
    <t>Проклятие фараона</t>
  </si>
  <si>
    <t xml:space="preserve">11541490            </t>
  </si>
  <si>
    <t>Руководство для начинающего детектива-реставратора. Экклстон М.</t>
  </si>
  <si>
    <t>978-5-0058-0420-4</t>
  </si>
  <si>
    <t>9785005804204</t>
  </si>
  <si>
    <t>Руководство для начинающего детектива-реставратора</t>
  </si>
  <si>
    <t xml:space="preserve">11763970            </t>
  </si>
  <si>
    <t>Смерть негодяя. Битон М.С.</t>
  </si>
  <si>
    <t>Битон М.С.</t>
  </si>
  <si>
    <t>978-5-0058-0831-8</t>
  </si>
  <si>
    <t>9785005808318</t>
  </si>
  <si>
    <t>Смерть негодяя</t>
  </si>
  <si>
    <t xml:space="preserve">11618830            </t>
  </si>
  <si>
    <t>Смерть сплетницы. Битон М.С.</t>
  </si>
  <si>
    <t>978-5-0058-0630-7</t>
  </si>
  <si>
    <t>9785005806307</t>
  </si>
  <si>
    <t>Смерть сплетницы</t>
  </si>
  <si>
    <t xml:space="preserve">11934620            </t>
  </si>
  <si>
    <t>Смерть чужака. Битон М.С.</t>
  </si>
  <si>
    <t>978-5-0058-0849-3</t>
  </si>
  <si>
    <t>9785005808493</t>
  </si>
  <si>
    <t>Смерть чужака</t>
  </si>
  <si>
    <t xml:space="preserve">12039030            </t>
  </si>
  <si>
    <t>Темная ночь. Шелтон П.</t>
  </si>
  <si>
    <t>Шелтон П.</t>
  </si>
  <si>
    <t>978-5-0058-0909-4</t>
  </si>
  <si>
    <t>9785005809094</t>
  </si>
  <si>
    <t>Темная ночь</t>
  </si>
  <si>
    <t xml:space="preserve">11613560            </t>
  </si>
  <si>
    <t>Тонкий лед. Шелтон П.</t>
  </si>
  <si>
    <t>978-5-0058-0626-0</t>
  </si>
  <si>
    <t>9785005806260</t>
  </si>
  <si>
    <t>Тонкий лед</t>
  </si>
  <si>
    <t xml:space="preserve">11541500            </t>
  </si>
  <si>
    <t>Убийство перед вечерней. Коулз Р.</t>
  </si>
  <si>
    <t>Коулз Р.</t>
  </si>
  <si>
    <t>978-5-0058-0395-5</t>
  </si>
  <si>
    <t>9785005803955</t>
  </si>
  <si>
    <t>Убийство перед вечерней</t>
  </si>
  <si>
    <t xml:space="preserve">11916080            </t>
  </si>
  <si>
    <t>Холодный ветер. Шелтон П.</t>
  </si>
  <si>
    <t>978-5-0058-0843-1</t>
  </si>
  <si>
    <t>9785005808431</t>
  </si>
  <si>
    <t>Холодный ветер</t>
  </si>
  <si>
    <t xml:space="preserve">11540990            </t>
  </si>
  <si>
    <t>Миры Спрэга де Кампа</t>
  </si>
  <si>
    <t>Башня гоблинов. Кн. 1. Де Камп Л.С.</t>
  </si>
  <si>
    <t>Де Камп Л.С.</t>
  </si>
  <si>
    <t>978-5-0058-0166-1</t>
  </si>
  <si>
    <t>9785005801661</t>
  </si>
  <si>
    <t>Башня гоблинов. Кн. 1</t>
  </si>
  <si>
    <t xml:space="preserve">11541000            </t>
  </si>
  <si>
    <t>Башня гоблинов; Часы Ираза; Корона Ксилара; Уважаемый варвар; Демон, который ошибался (комплект из 5-ти книг). Де Камп Л.С.</t>
  </si>
  <si>
    <t>978-5-521-80759-8</t>
  </si>
  <si>
    <t>9785521807598</t>
  </si>
  <si>
    <t>Башня гоблинов; Часы Ираза; Корона Ксилара; Уважаемый варвар; Демон, который ошибался (комплект из 5-ти книг)</t>
  </si>
  <si>
    <t xml:space="preserve">11540960            </t>
  </si>
  <si>
    <t>Демон, который ошибался. Кн. 5. Де Камп Л.С.</t>
  </si>
  <si>
    <t>978-5-0058-0196-8</t>
  </si>
  <si>
    <t>9785005801968</t>
  </si>
  <si>
    <t>Демон, который ошибался. Кн. 5</t>
  </si>
  <si>
    <t xml:space="preserve">11540980            </t>
  </si>
  <si>
    <t>Корона Ксилара. Кн. 3. Де Камп Л.С.</t>
  </si>
  <si>
    <t>978-5-0058-0168-5</t>
  </si>
  <si>
    <t>9785005801685</t>
  </si>
  <si>
    <t>Корона Ксилара. Кн. 3</t>
  </si>
  <si>
    <t xml:space="preserve">11540950            </t>
  </si>
  <si>
    <t>Отвергнутая принцесса. Де Камп Л.С.</t>
  </si>
  <si>
    <t>978-5-0058-0218-7</t>
  </si>
  <si>
    <t>9785005802187</t>
  </si>
  <si>
    <t>Отвергнутая принцесса</t>
  </si>
  <si>
    <t xml:space="preserve">11540970            </t>
  </si>
  <si>
    <t>Уважаемый варвар. Кн. 4. Де Камп Л.С.</t>
  </si>
  <si>
    <t>978-5-0058-0195-1</t>
  </si>
  <si>
    <t>9785005801951</t>
  </si>
  <si>
    <t>Уважаемый варвар. Кн. 4</t>
  </si>
  <si>
    <t xml:space="preserve">11540940            </t>
  </si>
  <si>
    <t>Часы Ираза. Кн. 2. Де Камп Л.С.</t>
  </si>
  <si>
    <t>978-5-0058-0167-8</t>
  </si>
  <si>
    <t>9785005801678</t>
  </si>
  <si>
    <t>Часы Ираза. Кн. 2</t>
  </si>
  <si>
    <t xml:space="preserve">11688440            </t>
  </si>
  <si>
    <t>Миры Шеннон Макгвайр</t>
  </si>
  <si>
    <t>Миттельшпиль. Макгвайр Ш.</t>
  </si>
  <si>
    <t>Макгвайр Ш.</t>
  </si>
  <si>
    <t>978-5-0058-0777-9</t>
  </si>
  <si>
    <t>9785005807779</t>
  </si>
  <si>
    <t>Миттельшпиль</t>
  </si>
  <si>
    <t xml:space="preserve">11860020            </t>
  </si>
  <si>
    <t>Особняк: современная классика</t>
  </si>
  <si>
    <t>Белая линия ночи. ан-Насрулла Х.</t>
  </si>
  <si>
    <t>ан-Насрулла Х.</t>
  </si>
  <si>
    <t>978-5-0058-0828-8</t>
  </si>
  <si>
    <t>9785005808288</t>
  </si>
  <si>
    <t>Белая линия ночи</t>
  </si>
  <si>
    <t xml:space="preserve">11540870            </t>
  </si>
  <si>
    <t>Бесчестье: роман. Кутзее Дж.М.</t>
  </si>
  <si>
    <t>978-5-0058-0141-8</t>
  </si>
  <si>
    <t>9785005801418</t>
  </si>
  <si>
    <t>Бесчестье: роман</t>
  </si>
  <si>
    <t xml:space="preserve">11540880            </t>
  </si>
  <si>
    <t>В ожидании варваров: роман. Кутзее Дж.М.</t>
  </si>
  <si>
    <t>978-5-0058-0140-1</t>
  </si>
  <si>
    <t>9785005801401</t>
  </si>
  <si>
    <t>В ожидании варваров: роман</t>
  </si>
  <si>
    <t xml:space="preserve">11859790            </t>
  </si>
  <si>
    <t>Вечер: роман. Харуф К.</t>
  </si>
  <si>
    <t>Харуф К.</t>
  </si>
  <si>
    <t>978-5-0058-0834-9</t>
  </si>
  <si>
    <t>9785005808349</t>
  </si>
  <si>
    <t>Вечер: роман</t>
  </si>
  <si>
    <t xml:space="preserve">11541040            </t>
  </si>
  <si>
    <t>Вода в озере никогда не бывает сладкой. Каминито Д.</t>
  </si>
  <si>
    <t>Каминито Д.</t>
  </si>
  <si>
    <t>978-5-0058-0043-5</t>
  </si>
  <si>
    <t>9785005800435</t>
  </si>
  <si>
    <t>Вода в озере никогда не бывает сладкой</t>
  </si>
  <si>
    <t xml:space="preserve">11540910            </t>
  </si>
  <si>
    <t>Жизнь и время Михаэла К.. Кутзее Дж.М.</t>
  </si>
  <si>
    <t>978-5-0058-0191-3</t>
  </si>
  <si>
    <t>9785005801913</t>
  </si>
  <si>
    <t>Жизнь и время Михаэла К.</t>
  </si>
  <si>
    <t xml:space="preserve">11541110            </t>
  </si>
  <si>
    <t>Кариатиды. Ханцис А.М.</t>
  </si>
  <si>
    <t>Ханцис А.М.</t>
  </si>
  <si>
    <t>978-5-0058-0274-3</t>
  </si>
  <si>
    <t>9785005802743</t>
  </si>
  <si>
    <t>Кариатиды</t>
  </si>
  <si>
    <t xml:space="preserve">11694020            </t>
  </si>
  <si>
    <t>Месяц светит по просьбе сердца моего. Вантэчават П</t>
  </si>
  <si>
    <t>Вантэчават П</t>
  </si>
  <si>
    <t>978-5-0058-0651-2</t>
  </si>
  <si>
    <t>9785005806512</t>
  </si>
  <si>
    <t>Месяц светит по просьбе сердца моего</t>
  </si>
  <si>
    <t xml:space="preserve">11540890            </t>
  </si>
  <si>
    <t>Осень в Петербурге. Кутзее Дж.М.</t>
  </si>
  <si>
    <t>978-5-0058-0142-5</t>
  </si>
  <si>
    <t>9785005801425</t>
  </si>
  <si>
    <t>Осень в Петербурге</t>
  </si>
  <si>
    <t xml:space="preserve">11541020            </t>
  </si>
  <si>
    <t>Снег на кедрах. Гатерсон Д.</t>
  </si>
  <si>
    <t>Гатерсон Д.</t>
  </si>
  <si>
    <t>978-5-0058-0067-1</t>
  </si>
  <si>
    <t>9785005800671</t>
  </si>
  <si>
    <t>Снег на кедрах</t>
  </si>
  <si>
    <t xml:space="preserve">11645090            </t>
  </si>
  <si>
    <t>Хорал: роман. Харуф К.</t>
  </si>
  <si>
    <t>978-5-0058-0495-2</t>
  </si>
  <si>
    <t>9785005804952</t>
  </si>
  <si>
    <t>Хорал: роман</t>
  </si>
  <si>
    <t xml:space="preserve">12027230            </t>
  </si>
  <si>
    <t>Подвал: интригующие триллеры</t>
  </si>
  <si>
    <t>Собеседование. Юэн К</t>
  </si>
  <si>
    <t>Юэн К</t>
  </si>
  <si>
    <t>978-5-0058-0977-3</t>
  </si>
  <si>
    <t>9785005809773</t>
  </si>
  <si>
    <t>Собеседование</t>
  </si>
  <si>
    <t xml:space="preserve">12065040            </t>
  </si>
  <si>
    <t>Уснуть. Тейлор К.Л.</t>
  </si>
  <si>
    <t>Тейлор К.Л.</t>
  </si>
  <si>
    <t>978-5-0058-0995-7</t>
  </si>
  <si>
    <t>9785005809957</t>
  </si>
  <si>
    <t>Уснуть</t>
  </si>
  <si>
    <t xml:space="preserve">11541030            </t>
  </si>
  <si>
    <t>Проект "Джейн Остен"</t>
  </si>
  <si>
    <t>Проект "Джейн Остен". Флинн К.Э.</t>
  </si>
  <si>
    <t>Флинн К.Э.</t>
  </si>
  <si>
    <t>978-5-0058-0221-7</t>
  </si>
  <si>
    <t>9785005802217</t>
  </si>
  <si>
    <t xml:space="preserve">11583120            </t>
  </si>
  <si>
    <t>Ромкомната: любовные романы</t>
  </si>
  <si>
    <t>Охота за звездами. Михалик Дж.</t>
  </si>
  <si>
    <t>Михалик Дж.</t>
  </si>
  <si>
    <t>978-5-0058-0503-4</t>
  </si>
  <si>
    <t>9785005805034</t>
  </si>
  <si>
    <t>Охота за звездами</t>
  </si>
  <si>
    <t xml:space="preserve">11539530            </t>
  </si>
  <si>
    <t>Последнее слово. Берчэл К.</t>
  </si>
  <si>
    <t>Берчэл К.</t>
  </si>
  <si>
    <t>978-5-0058-0450-1</t>
  </si>
  <si>
    <t>9785005804501</t>
  </si>
  <si>
    <t>Последнее слово</t>
  </si>
  <si>
    <t xml:space="preserve">12007180            </t>
  </si>
  <si>
    <t>Сага о Людях Льда</t>
  </si>
  <si>
    <t>Амулет висельника. Т. 16. Сандему М.</t>
  </si>
  <si>
    <t>Сандему М.</t>
  </si>
  <si>
    <t>978-5-0058-1071-7</t>
  </si>
  <si>
    <t>9785005810717</t>
  </si>
  <si>
    <t>Амулет висельника. Т. 16</t>
  </si>
  <si>
    <t xml:space="preserve">11541420            </t>
  </si>
  <si>
    <t>Дочь палача. Т. 8. Сандему М.</t>
  </si>
  <si>
    <t>978-5-0058-0341-2</t>
  </si>
  <si>
    <t>9785005803412</t>
  </si>
  <si>
    <t>Дочь палача. Т. 8</t>
  </si>
  <si>
    <t xml:space="preserve">11540730            </t>
  </si>
  <si>
    <t>Жар крови. Т. 12. Сандему М.</t>
  </si>
  <si>
    <t>978-5-0058-0516-4</t>
  </si>
  <si>
    <t>9785005805164</t>
  </si>
  <si>
    <t>Жар крови. Т. 12</t>
  </si>
  <si>
    <t xml:space="preserve">11541410            </t>
  </si>
  <si>
    <t>Замок Призраков. Т. 7. Сандему М.</t>
  </si>
  <si>
    <t>978-5-0058-0453-2</t>
  </si>
  <si>
    <t>9785005804532</t>
  </si>
  <si>
    <t>Замок Призраков. Т. 7</t>
  </si>
  <si>
    <t xml:space="preserve">11540720            </t>
  </si>
  <si>
    <t>Зимняя буря. Т. 10. Сандему М.</t>
  </si>
  <si>
    <t>978-5-0058-0506-5</t>
  </si>
  <si>
    <t>9785005805065</t>
  </si>
  <si>
    <t>Зимняя буря. Т. 10</t>
  </si>
  <si>
    <t xml:space="preserve">11540740            </t>
  </si>
  <si>
    <t>Кровная месть. Т. 11. Сандему М.</t>
  </si>
  <si>
    <t>978-5-0058-0508-9</t>
  </si>
  <si>
    <t>9785005805089</t>
  </si>
  <si>
    <t>Кровная месть. Т. 11</t>
  </si>
  <si>
    <t>11565310</t>
  </si>
  <si>
    <t>Люди льда: Т. 10-12 (комплект из 3-х книг). Сандему М.</t>
  </si>
  <si>
    <t>978-5-521-83674-1</t>
  </si>
  <si>
    <t>9785521836741</t>
  </si>
  <si>
    <t>Люди льда: Т. 10-12 (комплект из 3-х книг)</t>
  </si>
  <si>
    <t>11565490</t>
  </si>
  <si>
    <t>Люди льда: Т. 1-12 (комплект из 12-ти книг). Сандему М.</t>
  </si>
  <si>
    <t>978-5-521-83952-0</t>
  </si>
  <si>
    <t>9785521839520</t>
  </si>
  <si>
    <t>Люди льда: Т. 1-12 (комплект из 12-ти книг)</t>
  </si>
  <si>
    <t xml:space="preserve">11541240            </t>
  </si>
  <si>
    <t>Люди льда: Т. 1-6 (комплект из 6-ти книг). Сандему М.</t>
  </si>
  <si>
    <t>978-5-521-82548-6</t>
  </si>
  <si>
    <t>9785521825486</t>
  </si>
  <si>
    <t>Люди льда: Т. 1-6 (комплект из 6-ти книг)</t>
  </si>
  <si>
    <t xml:space="preserve">11541160            </t>
  </si>
  <si>
    <t>Наследие проклятых. Т. 6. Сандему М.</t>
  </si>
  <si>
    <t>978-5-0058-0236-1</t>
  </si>
  <si>
    <t>9785005802361</t>
  </si>
  <si>
    <t>Наследие проклятых. Т. 6</t>
  </si>
  <si>
    <t xml:space="preserve">11541210            </t>
  </si>
  <si>
    <t>Околдованная. Т. 1. Сандему М.</t>
  </si>
  <si>
    <t>978-5-0058-0162-3</t>
  </si>
  <si>
    <t>9785005801623</t>
  </si>
  <si>
    <t>Околдованная. Т. 1</t>
  </si>
  <si>
    <t xml:space="preserve">11541200            </t>
  </si>
  <si>
    <t>Охота на ведьм. Т. 2. Сандему М.</t>
  </si>
  <si>
    <t>978-5-0058-0165-4</t>
  </si>
  <si>
    <t>9785005801654</t>
  </si>
  <si>
    <t>Охота на ведьм. Т. 2</t>
  </si>
  <si>
    <t xml:space="preserve">11541180            </t>
  </si>
  <si>
    <t>Предчувствие. Т. 4. Сандему М.</t>
  </si>
  <si>
    <t>978-5-0058-0234-7</t>
  </si>
  <si>
    <t>9785005802347</t>
  </si>
  <si>
    <t>Предчувствие. Т. 4</t>
  </si>
  <si>
    <t xml:space="preserve">11541190            </t>
  </si>
  <si>
    <t>Преисподняя. Т. 3. Сандему М.</t>
  </si>
  <si>
    <t>978-5-0058-0164-7</t>
  </si>
  <si>
    <t>9785005801647</t>
  </si>
  <si>
    <t>Преисподняя. Т. 3</t>
  </si>
  <si>
    <t xml:space="preserve">12082470            </t>
  </si>
  <si>
    <t>Притворщики. Т. 18. Сандему М.</t>
  </si>
  <si>
    <t>978-5-0058-1073-1</t>
  </si>
  <si>
    <t>9785005810731</t>
  </si>
  <si>
    <t>Притворщики. Т. 18</t>
  </si>
  <si>
    <t xml:space="preserve">12041910            </t>
  </si>
  <si>
    <t>Сад смерти. Т. 17. Сандему М.</t>
  </si>
  <si>
    <t>978-5-0058-1072-4</t>
  </si>
  <si>
    <t>9785005810724</t>
  </si>
  <si>
    <t>Сад смерти. Т. 17</t>
  </si>
  <si>
    <t xml:space="preserve">11837310            </t>
  </si>
  <si>
    <t>Следы Дьявола. Последний рыцарь. Восточный ветер. Т. 13-15 (в одном томе). Сандему М.</t>
  </si>
  <si>
    <t>978-5-0058-0784-7</t>
  </si>
  <si>
    <t>9785005807847</t>
  </si>
  <si>
    <t>Следы Дьявола. Последний рыцарь. Восточный ветер. Т. 13-15 (в одном томе)</t>
  </si>
  <si>
    <t xml:space="preserve">11541170            </t>
  </si>
  <si>
    <t>Смертный грех. Т. 5. Сандему М.</t>
  </si>
  <si>
    <t>978-5-0058-0235-4</t>
  </si>
  <si>
    <t>9785005802354</t>
  </si>
  <si>
    <t>Смертный грех. Т. 5</t>
  </si>
  <si>
    <t xml:space="preserve">11541400            </t>
  </si>
  <si>
    <t>Черное одиночество. Т. 9. Сандему М.</t>
  </si>
  <si>
    <t>978-5-0058-0345-0</t>
  </si>
  <si>
    <t>9785005803450</t>
  </si>
  <si>
    <t>Черное одиночество. Т. 9</t>
  </si>
  <si>
    <t xml:space="preserve">11673030            </t>
  </si>
  <si>
    <t>Своя комната</t>
  </si>
  <si>
    <t>Элена знает. Пиньейро К.</t>
  </si>
  <si>
    <t>Пиньейро К.</t>
  </si>
  <si>
    <t>84х90/32</t>
  </si>
  <si>
    <t>978-5-0058-0052-7</t>
  </si>
  <si>
    <t>9785005800527</t>
  </si>
  <si>
    <t>Элена знает</t>
  </si>
  <si>
    <t xml:space="preserve">11558680            </t>
  </si>
  <si>
    <t>Своя комната: судьбы женщин</t>
  </si>
  <si>
    <t>Женщина голод: роман. Кода К.</t>
  </si>
  <si>
    <t>Кода К.</t>
  </si>
  <si>
    <t>978-5-0058-0480-8</t>
  </si>
  <si>
    <t>9785005804808</t>
  </si>
  <si>
    <t>Женщина голод: роман</t>
  </si>
  <si>
    <t xml:space="preserve">11667500            </t>
  </si>
  <si>
    <t>Исповедь скучной тетки. Лавуа М.-Р.</t>
  </si>
  <si>
    <t>Лавуа М.-Р.</t>
  </si>
  <si>
    <t>978-5-0058-0639-0</t>
  </si>
  <si>
    <t>9785005806390</t>
  </si>
  <si>
    <t>Исповедь скучной тетки</t>
  </si>
  <si>
    <t xml:space="preserve">11833930            </t>
  </si>
  <si>
    <t>Когда-нибудь, возможно. Нвабинели О.</t>
  </si>
  <si>
    <t>Нвабинели О.</t>
  </si>
  <si>
    <t>978-5-0058-0837-0</t>
  </si>
  <si>
    <t>9785005808370</t>
  </si>
  <si>
    <t>Когда-нибудь, возможно</t>
  </si>
  <si>
    <t xml:space="preserve">11541370            </t>
  </si>
  <si>
    <t>Коза торопится в лес. Гильдина Э.</t>
  </si>
  <si>
    <t>Гильдина Э.</t>
  </si>
  <si>
    <t>978-5-0058-0471-6</t>
  </si>
  <si>
    <t>9785005804716</t>
  </si>
  <si>
    <t>Коза торопится в лес</t>
  </si>
  <si>
    <t xml:space="preserve">11541150            </t>
  </si>
  <si>
    <t>Красные часы. Зумас Л.</t>
  </si>
  <si>
    <t>Зумас Л.</t>
  </si>
  <si>
    <t>978-5-0058-0397-9</t>
  </si>
  <si>
    <t>9785005803979</t>
  </si>
  <si>
    <t>Красные часы</t>
  </si>
  <si>
    <t xml:space="preserve">11746770            </t>
  </si>
  <si>
    <t>Последняя любовь бабы Дуни. Бронски А.</t>
  </si>
  <si>
    <t>Бронски А.</t>
  </si>
  <si>
    <t>978-5-0058-0790-8</t>
  </si>
  <si>
    <t>9785005807908</t>
  </si>
  <si>
    <t>Последняя любовь бабы Дуни</t>
  </si>
  <si>
    <t xml:space="preserve">11680590            </t>
  </si>
  <si>
    <t>Си Джей Скьюз: острые на язык убийства</t>
  </si>
  <si>
    <t>Дорогуша. Скьюз С.Дж.</t>
  </si>
  <si>
    <t>Скьюз С.Дж.</t>
  </si>
  <si>
    <t>978-5-0058-0645-1</t>
  </si>
  <si>
    <t>9785005806451</t>
  </si>
  <si>
    <t>Дорогуша</t>
  </si>
  <si>
    <t xml:space="preserve">11927010            </t>
  </si>
  <si>
    <t>Дорогуша: Рассвет. Скьюз С.Дж.</t>
  </si>
  <si>
    <t>978-5-0058-0923-0</t>
  </si>
  <si>
    <t>9785005809230</t>
  </si>
  <si>
    <t>Дорогуша: Рассвет</t>
  </si>
  <si>
    <t xml:space="preserve">11575830            </t>
  </si>
  <si>
    <t>Станция: иные миры</t>
  </si>
  <si>
    <t>Книга дождя. Уортон Т.</t>
  </si>
  <si>
    <t>Уортон Т.</t>
  </si>
  <si>
    <t>978-5-0058-0457-0</t>
  </si>
  <si>
    <t>9785005804570</t>
  </si>
  <si>
    <t>Книга дождя</t>
  </si>
  <si>
    <t xml:space="preserve">11541260            </t>
  </si>
  <si>
    <t>Население: одна. Мун Э.</t>
  </si>
  <si>
    <t>Мун Э.</t>
  </si>
  <si>
    <t>978-5-0058-0326-9</t>
  </si>
  <si>
    <t>9785005803269</t>
  </si>
  <si>
    <t>Население: одна</t>
  </si>
  <si>
    <t xml:space="preserve">11541050            </t>
  </si>
  <si>
    <t>Остов. Сойер К.</t>
  </si>
  <si>
    <t>978-5-0058-0220-0</t>
  </si>
  <si>
    <t>9785005802200</t>
  </si>
  <si>
    <t>Остов</t>
  </si>
  <si>
    <t xml:space="preserve">11567380            </t>
  </si>
  <si>
    <t>Стая. Шетцинг Ф.</t>
  </si>
  <si>
    <t>Шетцинг Ф.</t>
  </si>
  <si>
    <t>978-5-0058-0477-8</t>
  </si>
  <si>
    <t>9785005804778</t>
  </si>
  <si>
    <t>Стая</t>
  </si>
  <si>
    <t xml:space="preserve">12026990            </t>
  </si>
  <si>
    <t>Тирания бабочки. Шетцинг Ф.</t>
  </si>
  <si>
    <t>978-5-0058-0986-5</t>
  </si>
  <si>
    <t>9785005809865</t>
  </si>
  <si>
    <t>Тирания бабочки</t>
  </si>
  <si>
    <t xml:space="preserve">11575250            </t>
  </si>
  <si>
    <t>Тайная комната: немного волшебства</t>
  </si>
  <si>
    <t>Ведьмин ресторан. Ку Санхи</t>
  </si>
  <si>
    <t>Ку Санхи</t>
  </si>
  <si>
    <t>978-5-0058-0520-1</t>
  </si>
  <si>
    <t>9785005805201</t>
  </si>
  <si>
    <t>Ведьмин ресторан</t>
  </si>
  <si>
    <t xml:space="preserve">11592320            </t>
  </si>
  <si>
    <t>Книга дверей. Браун Г.</t>
  </si>
  <si>
    <t>Браун Г.</t>
  </si>
  <si>
    <t>978-5-0058-0487-7</t>
  </si>
  <si>
    <t>9785005804877</t>
  </si>
  <si>
    <t>Книга дверей</t>
  </si>
  <si>
    <t xml:space="preserve">11935880            </t>
  </si>
  <si>
    <t>Мельница. Волынцева Е., Копейкина Н.</t>
  </si>
  <si>
    <t>Волынцева Е., Копейкина Н.</t>
  </si>
  <si>
    <t>978-5-0058-0933-9</t>
  </si>
  <si>
    <t>9785005809339</t>
  </si>
  <si>
    <t>Мельница</t>
  </si>
  <si>
    <t xml:space="preserve">11591730            </t>
  </si>
  <si>
    <t>Неваляшка. Волынцева Е., Копейкина Н.</t>
  </si>
  <si>
    <t>978-5-0058-0498-3</t>
  </si>
  <si>
    <t>9785005804983</t>
  </si>
  <si>
    <t>Неваляшка</t>
  </si>
  <si>
    <t xml:space="preserve">12026520            </t>
  </si>
  <si>
    <t>Оккультриелтор. Цзян Тай-юй</t>
  </si>
  <si>
    <t>Цзян Тай-юй</t>
  </si>
  <si>
    <t>978-5-0058-0983-4</t>
  </si>
  <si>
    <t>9785005809834</t>
  </si>
  <si>
    <t>Оккультриелтор</t>
  </si>
  <si>
    <t xml:space="preserve">12026570            </t>
  </si>
  <si>
    <t>Чердак: готические романы</t>
  </si>
  <si>
    <t>Актер. Макдональд К.</t>
  </si>
  <si>
    <t>Макдональд К.</t>
  </si>
  <si>
    <t>978-5-0058-0919-3</t>
  </si>
  <si>
    <t>9785005809193</t>
  </si>
  <si>
    <t>Актер</t>
  </si>
  <si>
    <t xml:space="preserve">11848730            </t>
  </si>
  <si>
    <t>Диавола. Торн Дж.</t>
  </si>
  <si>
    <t>Торн Дж.</t>
  </si>
  <si>
    <t>978-5-0058-0846-2</t>
  </si>
  <si>
    <t>9785005808462</t>
  </si>
  <si>
    <t>Диавола</t>
  </si>
  <si>
    <t xml:space="preserve">11541090            </t>
  </si>
  <si>
    <t>Дом на болотах. Сомервилл З.</t>
  </si>
  <si>
    <t>Сомервилл З.</t>
  </si>
  <si>
    <t>978-5-0058-0217-0</t>
  </si>
  <si>
    <t>9785005802170</t>
  </si>
  <si>
    <t>Дом на болотах</t>
  </si>
  <si>
    <t xml:space="preserve">11575460            </t>
  </si>
  <si>
    <t>Дом смерти. О'Кэллахан Б.</t>
  </si>
  <si>
    <t>О'Кэллахан Б.</t>
  </si>
  <si>
    <t>978-5-0058-0379-5</t>
  </si>
  <si>
    <t>9785005803795</t>
  </si>
  <si>
    <t>Дом смерти</t>
  </si>
  <si>
    <t xml:space="preserve">11541130            </t>
  </si>
  <si>
    <t>Лес. Тюльбашева С.</t>
  </si>
  <si>
    <t>Тюльбашева С.</t>
  </si>
  <si>
    <t>978-5-0058-0353-5</t>
  </si>
  <si>
    <t>9785005803535</t>
  </si>
  <si>
    <t>Лес</t>
  </si>
  <si>
    <t xml:space="preserve">11541070            </t>
  </si>
  <si>
    <t>Лют. Торн Дж.</t>
  </si>
  <si>
    <t>978-5-0058-0252-1</t>
  </si>
  <si>
    <t>9785005802521</t>
  </si>
  <si>
    <t>Лют</t>
  </si>
  <si>
    <t xml:space="preserve">11575240            </t>
  </si>
  <si>
    <t>Призрак Сомерсет-Парка. Майерс Б.Р.</t>
  </si>
  <si>
    <t>Майерс Б.Р.</t>
  </si>
  <si>
    <t>978-5-0058-0623-9</t>
  </si>
  <si>
    <t>9785005806239</t>
  </si>
  <si>
    <t>Призрак Сомерсет-Парка</t>
  </si>
  <si>
    <t xml:space="preserve">12067440            </t>
  </si>
  <si>
    <t>Словно мы злодеи. Рио М.Л.</t>
  </si>
  <si>
    <t>Рио М.Л.</t>
  </si>
  <si>
    <t>978-5-0058-1075-5</t>
  </si>
  <si>
    <t>9785005810755</t>
  </si>
  <si>
    <t>Словно мы злодеи</t>
  </si>
  <si>
    <t xml:space="preserve">11541120            </t>
  </si>
  <si>
    <t>Экземпляр. Купор Ю.</t>
  </si>
  <si>
    <t>Купор Ю.</t>
  </si>
  <si>
    <t>978-5-0058-0258-3</t>
  </si>
  <si>
    <t>9785005802583</t>
  </si>
  <si>
    <t>Экземпляр</t>
  </si>
  <si>
    <t xml:space="preserve">11865800            </t>
  </si>
  <si>
    <t>Чулан: страшные тайны</t>
  </si>
  <si>
    <t>Все, кто мог простить меня, мертвы. Холландер Д.</t>
  </si>
  <si>
    <t>Холландер Д.</t>
  </si>
  <si>
    <t>978-5-0058-0876-9</t>
  </si>
  <si>
    <t>9785005808769</t>
  </si>
  <si>
    <t>Все, кто мог простить меня, мертвы</t>
  </si>
  <si>
    <t xml:space="preserve">11856820            </t>
  </si>
  <si>
    <t>Кровавый гороскоп. Бишоп Э</t>
  </si>
  <si>
    <t>Бишоп Э</t>
  </si>
  <si>
    <t>978-5-0058-0927-8</t>
  </si>
  <si>
    <t>9785005809278</t>
  </si>
  <si>
    <t>Кровавый гороскоп</t>
  </si>
  <si>
    <t xml:space="preserve">11541350            </t>
  </si>
  <si>
    <t>Остров пропавших девушек. Марвуд А.</t>
  </si>
  <si>
    <t>Марвуд А.</t>
  </si>
  <si>
    <t>978-5-0058-0240-8</t>
  </si>
  <si>
    <t>9785005802408</t>
  </si>
  <si>
    <t>Остров пропавших девушек</t>
  </si>
  <si>
    <t xml:space="preserve">11541380            </t>
  </si>
  <si>
    <t>Погружение. Окс С.</t>
  </si>
  <si>
    <t>Окс С.</t>
  </si>
  <si>
    <t>978-5-0058-0465-5</t>
  </si>
  <si>
    <t>9785005804655</t>
  </si>
  <si>
    <t>Погружение</t>
  </si>
  <si>
    <t xml:space="preserve">12041920            </t>
  </si>
  <si>
    <t>Покаяние. Коваль К.</t>
  </si>
  <si>
    <t>Коваль К.</t>
  </si>
  <si>
    <t>978-5-0058-0930-8</t>
  </si>
  <si>
    <t>9785005809308</t>
  </si>
  <si>
    <t>Покаяние</t>
  </si>
  <si>
    <t xml:space="preserve">11541310            </t>
  </si>
  <si>
    <t>Разочарованные. Варей М.</t>
  </si>
  <si>
    <t>Варей М.</t>
  </si>
  <si>
    <t>978-5-0058-0396-2</t>
  </si>
  <si>
    <t>9785005803962</t>
  </si>
  <si>
    <t>Разочарованные</t>
  </si>
  <si>
    <t xml:space="preserve">11541270            </t>
  </si>
  <si>
    <t>Страшная тайна. Марвуд А.</t>
  </si>
  <si>
    <t>978-5-0058-0272-9</t>
  </si>
  <si>
    <t>9785005802729</t>
  </si>
  <si>
    <t>Страшная тайна</t>
  </si>
  <si>
    <t xml:space="preserve">11803810            </t>
  </si>
  <si>
    <t>Что скрывает прилив. Крауч С.</t>
  </si>
  <si>
    <t>Крауч С.</t>
  </si>
  <si>
    <t>978-5-0058-0840-0</t>
  </si>
  <si>
    <t>9785005808400</t>
  </si>
  <si>
    <t>Что скрывает прилив</t>
  </si>
  <si>
    <t xml:space="preserve">11541140            </t>
  </si>
  <si>
    <t>Я знаю, что видел. Махмуд И.</t>
  </si>
  <si>
    <t>Махмуд И.</t>
  </si>
  <si>
    <t>978-5-0058-0251-4</t>
  </si>
  <si>
    <t>9785005802514</t>
  </si>
  <si>
    <t>Я знаю, что видел</t>
  </si>
  <si>
    <t>См.обл.</t>
  </si>
  <si>
    <t>нов</t>
  </si>
  <si>
    <t>Жанр: Книги издательства "Рипол Классик"</t>
  </si>
  <si>
    <t>Жанр: Книги издательства "Пальмира"</t>
  </si>
  <si>
    <t>Жанр: Духовная литература</t>
  </si>
  <si>
    <t>Жанр: Книги издательства "Партнерской программы"(Эксклюзив)</t>
  </si>
  <si>
    <t>Дом историй (Эксклюзив)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</si>
</sst>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sz val="8"/>
      <color indexed="10"/>
      <name val="Arial Cyr"/>
      <charset val="204"/>
    </font>
    <font>
      <b/>
      <sz val="12"/>
      <color theme="1"/>
      <name val="Arial"/>
      <family val="2"/>
      <charset val="204"/>
    </font>
    <font>
      <b/>
      <sz val="8"/>
      <color theme="1"/>
      <name val="Arial Cyr"/>
      <charset val="204"/>
    </font>
    <font>
      <b/>
      <sz val="8"/>
      <color indexed="10"/>
      <name val="Arial Cyr"/>
      <charset val="204"/>
    </font>
    <font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sz val="14"/>
      <color indexed="12"/>
      <name val="Arial"/>
      <family val="2"/>
      <charset val="204"/>
    </font>
    <font>
      <b/>
      <u/>
      <sz val="14"/>
      <color indexed="12"/>
      <name val="Arial"/>
      <family val="2"/>
      <charset val="204"/>
    </font>
    <font>
      <b/>
      <sz val="13"/>
      <color indexed="16"/>
      <name val="Arial"/>
      <family val="2"/>
      <charset val="204"/>
    </font>
    <font>
      <b/>
      <u/>
      <sz val="13"/>
      <color indexed="1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2" borderId="0" xfId="0" applyFont="1" applyFill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2" fontId="0" fillId="0" borderId="0" xfId="0" applyNumberFormat="1"/>
    <xf numFmtId="2" fontId="2" fillId="0" borderId="0" xfId="0" applyNumberFormat="1" applyFont="1"/>
    <xf numFmtId="10" fontId="0" fillId="3" borderId="0" xfId="0" applyNumberFormat="1" applyFill="1"/>
    <xf numFmtId="0" fontId="5" fillId="0" borderId="0" xfId="0" applyFont="1"/>
    <xf numFmtId="14" fontId="2" fillId="0" borderId="0" xfId="0" applyNumberFormat="1" applyFont="1"/>
    <xf numFmtId="0" fontId="7" fillId="0" borderId="0" xfId="1" applyAlignment="1" applyProtection="1"/>
    <xf numFmtId="0" fontId="8" fillId="0" borderId="0" xfId="1" applyFont="1" applyAlignment="1" applyProtection="1"/>
    <xf numFmtId="14" fontId="5" fillId="0" borderId="0" xfId="0" applyNumberFormat="1" applyFont="1"/>
    <xf numFmtId="0" fontId="9" fillId="0" borderId="0" xfId="0" applyFont="1"/>
    <xf numFmtId="0" fontId="10" fillId="0" borderId="0" xfId="1" applyFont="1" applyAlignment="1" applyProtection="1"/>
    <xf numFmtId="14" fontId="9" fillId="0" borderId="0" xfId="0" applyNumberFormat="1" applyFont="1"/>
    <xf numFmtId="0" fontId="11" fillId="0" borderId="0" xfId="0" applyFont="1"/>
    <xf numFmtId="0" fontId="12" fillId="0" borderId="0" xfId="1" applyFont="1" applyAlignment="1" applyProtection="1"/>
    <xf numFmtId="14" fontId="11" fillId="0" borderId="0" xfId="0" applyNumberFormat="1" applyFont="1"/>
    <xf numFmtId="2" fontId="9" fillId="0" borderId="0" xfId="0" applyNumberFormat="1" applyFont="1"/>
    <xf numFmtId="2" fontId="5" fillId="0" borderId="0" xfId="0" applyNumberFormat="1" applyFont="1"/>
    <xf numFmtId="2" fontId="11" fillId="0" borderId="0" xfId="0" applyNumberFormat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org.book-online.ru/photo_book/11680490.jpg" TargetMode="External"/><Relationship Id="rId671" Type="http://schemas.openxmlformats.org/officeDocument/2006/relationships/hyperlink" Target="http://torg.book-online.ru/photo_book/9801170.jpg" TargetMode="External"/><Relationship Id="rId769" Type="http://schemas.openxmlformats.org/officeDocument/2006/relationships/hyperlink" Target="http://torg.book-online.ru/photo_book/9072400.jpg" TargetMode="External"/><Relationship Id="rId976" Type="http://schemas.openxmlformats.org/officeDocument/2006/relationships/hyperlink" Target="http://torg.book-online.ru/photo_book/11844490.jpg" TargetMode="External"/><Relationship Id="rId21" Type="http://schemas.openxmlformats.org/officeDocument/2006/relationships/hyperlink" Target="http://torg.book-online.ru/photo_book/12038380.jpg" TargetMode="External"/><Relationship Id="rId324" Type="http://schemas.openxmlformats.org/officeDocument/2006/relationships/hyperlink" Target="http://torg.book-online.ru/photo_book/11663970.jpg" TargetMode="External"/><Relationship Id="rId531" Type="http://schemas.openxmlformats.org/officeDocument/2006/relationships/hyperlink" Target="http://torg.book-online.ru/photo_book/11066380.jpg" TargetMode="External"/><Relationship Id="rId629" Type="http://schemas.openxmlformats.org/officeDocument/2006/relationships/hyperlink" Target="http://torg.book-online.ru/photo_book/10777970.jpg" TargetMode="External"/><Relationship Id="rId1161" Type="http://schemas.openxmlformats.org/officeDocument/2006/relationships/hyperlink" Target="http://torg.book-online.ru/photo_book/11575240.jpg" TargetMode="External"/><Relationship Id="rId170" Type="http://schemas.openxmlformats.org/officeDocument/2006/relationships/hyperlink" Target="http://torg.book-online.ru/photo_book/10945410.jpg" TargetMode="External"/><Relationship Id="rId836" Type="http://schemas.openxmlformats.org/officeDocument/2006/relationships/hyperlink" Target="http://torg.book-online.ru/photo_book/11062610.jpg" TargetMode="External"/><Relationship Id="rId1021" Type="http://schemas.openxmlformats.org/officeDocument/2006/relationships/hyperlink" Target="http://torg.book-online.ru/photo_book/9612360.jpg" TargetMode="External"/><Relationship Id="rId1119" Type="http://schemas.openxmlformats.org/officeDocument/2006/relationships/hyperlink" Target="http://torg.book-online.ru/photo_book/11540730.jpg" TargetMode="External"/><Relationship Id="rId268" Type="http://schemas.openxmlformats.org/officeDocument/2006/relationships/hyperlink" Target="http://torg.book-online.ru/photo_book/9270850.jpg" TargetMode="External"/><Relationship Id="rId475" Type="http://schemas.openxmlformats.org/officeDocument/2006/relationships/hyperlink" Target="http://torg.book-online.ru/photo_book/9157270.jpg" TargetMode="External"/><Relationship Id="rId682" Type="http://schemas.openxmlformats.org/officeDocument/2006/relationships/hyperlink" Target="http://torg.book-online.ru/photo_book/9667010.jpg" TargetMode="External"/><Relationship Id="rId903" Type="http://schemas.openxmlformats.org/officeDocument/2006/relationships/hyperlink" Target="http://torg.book-online.ru/photo_book/11100930.jpg" TargetMode="External"/><Relationship Id="rId32" Type="http://schemas.openxmlformats.org/officeDocument/2006/relationships/hyperlink" Target="http://torg.book-online.ru/photo_book/11838520.jpg" TargetMode="External"/><Relationship Id="rId128" Type="http://schemas.openxmlformats.org/officeDocument/2006/relationships/hyperlink" Target="http://torg.book-online.ru/photo_book/10452520.jpg" TargetMode="External"/><Relationship Id="rId335" Type="http://schemas.openxmlformats.org/officeDocument/2006/relationships/hyperlink" Target="http://torg.book-online.ru/photo_book/11610340.jpg" TargetMode="External"/><Relationship Id="rId542" Type="http://schemas.openxmlformats.org/officeDocument/2006/relationships/hyperlink" Target="http://torg.book-online.ru/photo_book/11258310.jpg" TargetMode="External"/><Relationship Id="rId987" Type="http://schemas.openxmlformats.org/officeDocument/2006/relationships/hyperlink" Target="http://torg.book-online.ru/photo_book/11674850.jpg" TargetMode="External"/><Relationship Id="rId1172" Type="http://schemas.openxmlformats.org/officeDocument/2006/relationships/hyperlink" Target="http://torg.book-online.ru/photo_book/11541140.jpg" TargetMode="External"/><Relationship Id="rId181" Type="http://schemas.openxmlformats.org/officeDocument/2006/relationships/hyperlink" Target="http://torg.book-online.ru/photo_book/10232820.jpg" TargetMode="External"/><Relationship Id="rId402" Type="http://schemas.openxmlformats.org/officeDocument/2006/relationships/hyperlink" Target="http://torg.book-online.ru/photo_book/5859520.jpg" TargetMode="External"/><Relationship Id="rId847" Type="http://schemas.openxmlformats.org/officeDocument/2006/relationships/hyperlink" Target="http://torg.book-online.ru/photo_book/11498710.jpg" TargetMode="External"/><Relationship Id="rId1032" Type="http://schemas.openxmlformats.org/officeDocument/2006/relationships/hyperlink" Target="http://torg.book-online.ru/photo_book/7692560.jpg" TargetMode="External"/><Relationship Id="rId279" Type="http://schemas.openxmlformats.org/officeDocument/2006/relationships/hyperlink" Target="http://torg.book-online.ru/photo_book/7566030.jpg" TargetMode="External"/><Relationship Id="rId486" Type="http://schemas.openxmlformats.org/officeDocument/2006/relationships/hyperlink" Target="http://torg.book-online.ru/photo_book/8435040.jpg" TargetMode="External"/><Relationship Id="rId693" Type="http://schemas.openxmlformats.org/officeDocument/2006/relationships/hyperlink" Target="http://torg.book-online.ru/photo_book/10556720.jpg" TargetMode="External"/><Relationship Id="rId707" Type="http://schemas.openxmlformats.org/officeDocument/2006/relationships/hyperlink" Target="http://torg.book-online.ru/photo_book/10748430.jpg" TargetMode="External"/><Relationship Id="rId914" Type="http://schemas.openxmlformats.org/officeDocument/2006/relationships/hyperlink" Target="http://torg.book-online.ru/photo_book/11260910.jpg" TargetMode="External"/><Relationship Id="rId43" Type="http://schemas.openxmlformats.org/officeDocument/2006/relationships/hyperlink" Target="http://torg.book-online.ru/photo_book/11419990.jpg" TargetMode="External"/><Relationship Id="rId139" Type="http://schemas.openxmlformats.org/officeDocument/2006/relationships/hyperlink" Target="http://torg.book-online.ru/photo_book/8242700.jpg" TargetMode="External"/><Relationship Id="rId346" Type="http://schemas.openxmlformats.org/officeDocument/2006/relationships/hyperlink" Target="http://torg.book-online.ru/photo_book/10994700.jpg" TargetMode="External"/><Relationship Id="rId553" Type="http://schemas.openxmlformats.org/officeDocument/2006/relationships/hyperlink" Target="http://torg.book-online.ru/photo_book/11897860.jpg" TargetMode="External"/><Relationship Id="rId760" Type="http://schemas.openxmlformats.org/officeDocument/2006/relationships/hyperlink" Target="http://torg.book-online.ru/photo_book/6457490.jpg" TargetMode="External"/><Relationship Id="rId998" Type="http://schemas.openxmlformats.org/officeDocument/2006/relationships/hyperlink" Target="http://torg.book-online.ru/photo_book/11476230.jpg" TargetMode="External"/><Relationship Id="rId192" Type="http://schemas.openxmlformats.org/officeDocument/2006/relationships/hyperlink" Target="http://torg.book-online.ru/photo_book/9797790.jpg" TargetMode="External"/><Relationship Id="rId206" Type="http://schemas.openxmlformats.org/officeDocument/2006/relationships/hyperlink" Target="http://torg.book-online.ru/photo_book/9675530.jpg" TargetMode="External"/><Relationship Id="rId413" Type="http://schemas.openxmlformats.org/officeDocument/2006/relationships/hyperlink" Target="http://torg.book-online.ru/photo_book/11030290.jpg" TargetMode="External"/><Relationship Id="rId858" Type="http://schemas.openxmlformats.org/officeDocument/2006/relationships/hyperlink" Target="http://torg.book-online.ru/photo_book/11951430.jpg" TargetMode="External"/><Relationship Id="rId1043" Type="http://schemas.openxmlformats.org/officeDocument/2006/relationships/hyperlink" Target="http://torg.book-online.ru/photo_book/10451600.jpg" TargetMode="External"/><Relationship Id="rId497" Type="http://schemas.openxmlformats.org/officeDocument/2006/relationships/hyperlink" Target="http://torg.book-online.ru/photo_book/9730430.jpg" TargetMode="External"/><Relationship Id="rId620" Type="http://schemas.openxmlformats.org/officeDocument/2006/relationships/hyperlink" Target="http://torg.book-online.ru/photo_book/10169380.jpg" TargetMode="External"/><Relationship Id="rId718" Type="http://schemas.openxmlformats.org/officeDocument/2006/relationships/hyperlink" Target="http://torg.book-online.ru/photo_book/8496600.jpg" TargetMode="External"/><Relationship Id="rId925" Type="http://schemas.openxmlformats.org/officeDocument/2006/relationships/hyperlink" Target="http://torg.book-online.ru/photo_book/7106920.jpg" TargetMode="External"/><Relationship Id="rId357" Type="http://schemas.openxmlformats.org/officeDocument/2006/relationships/hyperlink" Target="http://torg.book-online.ru/photo_book/9554690.jpg" TargetMode="External"/><Relationship Id="rId1110" Type="http://schemas.openxmlformats.org/officeDocument/2006/relationships/hyperlink" Target="http://torg.book-online.ru/photo_book/11541020.jpg" TargetMode="External"/><Relationship Id="rId54" Type="http://schemas.openxmlformats.org/officeDocument/2006/relationships/hyperlink" Target="http://torg.book-online.ru/photo_book/11582880.jpg" TargetMode="External"/><Relationship Id="rId217" Type="http://schemas.openxmlformats.org/officeDocument/2006/relationships/hyperlink" Target="http://torg.book-online.ru/photo_book/9793830.jpg" TargetMode="External"/><Relationship Id="rId564" Type="http://schemas.openxmlformats.org/officeDocument/2006/relationships/hyperlink" Target="http://torg.book-online.ru/photo_book/11514090.jpg" TargetMode="External"/><Relationship Id="rId771" Type="http://schemas.openxmlformats.org/officeDocument/2006/relationships/hyperlink" Target="http://torg.book-online.ru/photo_book/11095730.jpg" TargetMode="External"/><Relationship Id="rId869" Type="http://schemas.openxmlformats.org/officeDocument/2006/relationships/hyperlink" Target="http://torg.book-online.ru/photo_book/10747770.jpg" TargetMode="External"/><Relationship Id="rId424" Type="http://schemas.openxmlformats.org/officeDocument/2006/relationships/hyperlink" Target="http://torg.book-online.ru/photo_book/9752030.jpg" TargetMode="External"/><Relationship Id="rId631" Type="http://schemas.openxmlformats.org/officeDocument/2006/relationships/hyperlink" Target="http://torg.book-online.ru/photo_book/8598550.jpg" TargetMode="External"/><Relationship Id="rId729" Type="http://schemas.openxmlformats.org/officeDocument/2006/relationships/hyperlink" Target="http://torg.book-online.ru/photo_book/8420360.jpg" TargetMode="External"/><Relationship Id="rId1054" Type="http://schemas.openxmlformats.org/officeDocument/2006/relationships/hyperlink" Target="http://torg.book-online.ru/photo_book/11541480.jpg" TargetMode="External"/><Relationship Id="rId270" Type="http://schemas.openxmlformats.org/officeDocument/2006/relationships/hyperlink" Target="http://torg.book-online.ru/photo_book/9399610.jpg" TargetMode="External"/><Relationship Id="rId936" Type="http://schemas.openxmlformats.org/officeDocument/2006/relationships/hyperlink" Target="http://torg.book-online.ru/photo_book/8905360.jpg" TargetMode="External"/><Relationship Id="rId1121" Type="http://schemas.openxmlformats.org/officeDocument/2006/relationships/hyperlink" Target="http://torg.book-online.ru/photo_book/11540720.jpg" TargetMode="External"/><Relationship Id="rId65" Type="http://schemas.openxmlformats.org/officeDocument/2006/relationships/hyperlink" Target="http://torg.book-online.ru/photo_book/11800690.jpg" TargetMode="External"/><Relationship Id="rId130" Type="http://schemas.openxmlformats.org/officeDocument/2006/relationships/hyperlink" Target="http://torg.book-online.ru/photo_book/10451040.jpg" TargetMode="External"/><Relationship Id="rId368" Type="http://schemas.openxmlformats.org/officeDocument/2006/relationships/hyperlink" Target="http://torg.book-online.ru/photo_book/11936020.jpg" TargetMode="External"/><Relationship Id="rId575" Type="http://schemas.openxmlformats.org/officeDocument/2006/relationships/hyperlink" Target="http://torg.book-online.ru/photo_book/11498550.jpg" TargetMode="External"/><Relationship Id="rId782" Type="http://schemas.openxmlformats.org/officeDocument/2006/relationships/hyperlink" Target="http://torg.book-online.ru/photo_book/7199580.jpg" TargetMode="External"/><Relationship Id="rId228" Type="http://schemas.openxmlformats.org/officeDocument/2006/relationships/hyperlink" Target="http://torg.book-online.ru/photo_book/11254910.jpg" TargetMode="External"/><Relationship Id="rId435" Type="http://schemas.openxmlformats.org/officeDocument/2006/relationships/hyperlink" Target="http://torg.book-online.ru/photo_book/9675700.jpg" TargetMode="External"/><Relationship Id="rId642" Type="http://schemas.openxmlformats.org/officeDocument/2006/relationships/hyperlink" Target="http://torg.book-online.ru/photo_book/5850580.jpg" TargetMode="External"/><Relationship Id="rId1065" Type="http://schemas.openxmlformats.org/officeDocument/2006/relationships/hyperlink" Target="http://torg.book-online.ru/photo_book/11540930.jpg" TargetMode="External"/><Relationship Id="rId281" Type="http://schemas.openxmlformats.org/officeDocument/2006/relationships/hyperlink" Target="http://torg.book-online.ru/photo_book/7943110.jpg" TargetMode="External"/><Relationship Id="rId502" Type="http://schemas.openxmlformats.org/officeDocument/2006/relationships/hyperlink" Target="http://torg.book-online.ru/photo_book/8446720.jpg" TargetMode="External"/><Relationship Id="rId947" Type="http://schemas.openxmlformats.org/officeDocument/2006/relationships/hyperlink" Target="http://torg.book-online.ru/photo_book/10238920.jpg" TargetMode="External"/><Relationship Id="rId1132" Type="http://schemas.openxmlformats.org/officeDocument/2006/relationships/hyperlink" Target="http://torg.book-online.ru/photo_book/12041910.jpg" TargetMode="External"/><Relationship Id="rId76" Type="http://schemas.openxmlformats.org/officeDocument/2006/relationships/hyperlink" Target="http://torg.book-online.ru/photo_book/11610420.jpg" TargetMode="External"/><Relationship Id="rId141" Type="http://schemas.openxmlformats.org/officeDocument/2006/relationships/hyperlink" Target="http://torg.book-online.ru/photo_book/11287240.jpg" TargetMode="External"/><Relationship Id="rId379" Type="http://schemas.openxmlformats.org/officeDocument/2006/relationships/hyperlink" Target="http://torg.book-online.ru/photo_book/8558580.jpg" TargetMode="External"/><Relationship Id="rId586" Type="http://schemas.openxmlformats.org/officeDocument/2006/relationships/hyperlink" Target="http://torg.book-online.ru/photo_book/9744960.jpg" TargetMode="External"/><Relationship Id="rId793" Type="http://schemas.openxmlformats.org/officeDocument/2006/relationships/hyperlink" Target="http://torg.book-online.ru/photo_book/11149030.jpg" TargetMode="External"/><Relationship Id="rId807" Type="http://schemas.openxmlformats.org/officeDocument/2006/relationships/hyperlink" Target="http://torg.book-online.ru/photo_book/8969400.jpg" TargetMode="External"/><Relationship Id="rId7" Type="http://schemas.openxmlformats.org/officeDocument/2006/relationships/hyperlink" Target="http://torg.book-online.ru/photo_book/11462850.jpg" TargetMode="External"/><Relationship Id="rId239" Type="http://schemas.openxmlformats.org/officeDocument/2006/relationships/hyperlink" Target="http://torg.book-online.ru/photo_book/9285120.jpg" TargetMode="External"/><Relationship Id="rId446" Type="http://schemas.openxmlformats.org/officeDocument/2006/relationships/hyperlink" Target="http://torg.book-online.ru/photo_book/9666890.jpg" TargetMode="External"/><Relationship Id="rId653" Type="http://schemas.openxmlformats.org/officeDocument/2006/relationships/hyperlink" Target="http://torg.book-online.ru/photo_book/11018870.jpg" TargetMode="External"/><Relationship Id="rId1076" Type="http://schemas.openxmlformats.org/officeDocument/2006/relationships/hyperlink" Target="http://torg.book-online.ru/photo_book/11571070.jpg" TargetMode="External"/><Relationship Id="rId292" Type="http://schemas.openxmlformats.org/officeDocument/2006/relationships/hyperlink" Target="http://torg.book-online.ru/photo_book/10320100.jpg" TargetMode="External"/><Relationship Id="rId306" Type="http://schemas.openxmlformats.org/officeDocument/2006/relationships/hyperlink" Target="http://torg.book-online.ru/photo_book/9724800.jpg" TargetMode="External"/><Relationship Id="rId860" Type="http://schemas.openxmlformats.org/officeDocument/2006/relationships/hyperlink" Target="http://torg.book-online.ru/photo_book/9930390.jpg" TargetMode="External"/><Relationship Id="rId958" Type="http://schemas.openxmlformats.org/officeDocument/2006/relationships/hyperlink" Target="http://torg.book-online.ru/photo_book/7058300.jpg" TargetMode="External"/><Relationship Id="rId1143" Type="http://schemas.openxmlformats.org/officeDocument/2006/relationships/hyperlink" Target="http://torg.book-online.ru/photo_book/11680590.jpg" TargetMode="External"/><Relationship Id="rId87" Type="http://schemas.openxmlformats.org/officeDocument/2006/relationships/hyperlink" Target="http://torg.book-online.ru/photo_book/11964950.jpg" TargetMode="External"/><Relationship Id="rId513" Type="http://schemas.openxmlformats.org/officeDocument/2006/relationships/hyperlink" Target="http://torg.book-online.ru/photo_book/11491580.jpg" TargetMode="External"/><Relationship Id="rId597" Type="http://schemas.openxmlformats.org/officeDocument/2006/relationships/hyperlink" Target="http://torg.book-online.ru/photo_book/11498460.jpg" TargetMode="External"/><Relationship Id="rId720" Type="http://schemas.openxmlformats.org/officeDocument/2006/relationships/hyperlink" Target="http://torg.book-online.ru/photo_book/9709760.jpg" TargetMode="External"/><Relationship Id="rId818" Type="http://schemas.openxmlformats.org/officeDocument/2006/relationships/hyperlink" Target="http://torg.book-online.ru/photo_book/10369150.jpg" TargetMode="External"/><Relationship Id="rId152" Type="http://schemas.openxmlformats.org/officeDocument/2006/relationships/hyperlink" Target="http://torg.book-online.ru/photo_book/11800710.jpg" TargetMode="External"/><Relationship Id="rId457" Type="http://schemas.openxmlformats.org/officeDocument/2006/relationships/hyperlink" Target="http://torg.book-online.ru/photo_book/9064540.jpg" TargetMode="External"/><Relationship Id="rId1003" Type="http://schemas.openxmlformats.org/officeDocument/2006/relationships/hyperlink" Target="http://torg.book-online.ru/photo_book/11501870.jpg" TargetMode="External"/><Relationship Id="rId1087" Type="http://schemas.openxmlformats.org/officeDocument/2006/relationships/hyperlink" Target="http://torg.book-online.ru/photo_book/11618830.jpg" TargetMode="External"/><Relationship Id="rId664" Type="http://schemas.openxmlformats.org/officeDocument/2006/relationships/hyperlink" Target="http://torg.book-online.ru/photo_book/10702370.jpg" TargetMode="External"/><Relationship Id="rId871" Type="http://schemas.openxmlformats.org/officeDocument/2006/relationships/hyperlink" Target="http://torg.book-online.ru/photo_book/11488510.jpg" TargetMode="External"/><Relationship Id="rId969" Type="http://schemas.openxmlformats.org/officeDocument/2006/relationships/hyperlink" Target="http://torg.book-online.ru/photo_book/9633490.jpg" TargetMode="External"/><Relationship Id="rId14" Type="http://schemas.openxmlformats.org/officeDocument/2006/relationships/hyperlink" Target="http://torg.book-online.ru/photo_book/11664080.jpg" TargetMode="External"/><Relationship Id="rId317" Type="http://schemas.openxmlformats.org/officeDocument/2006/relationships/hyperlink" Target="http://torg.book-online.ru/photo_book/10480100.jpg" TargetMode="External"/><Relationship Id="rId524" Type="http://schemas.openxmlformats.org/officeDocument/2006/relationships/hyperlink" Target="http://torg.book-online.ru/photo_book/11290250.jpg" TargetMode="External"/><Relationship Id="rId731" Type="http://schemas.openxmlformats.org/officeDocument/2006/relationships/hyperlink" Target="http://torg.book-online.ru/photo_book/11926760.jpg" TargetMode="External"/><Relationship Id="rId1154" Type="http://schemas.openxmlformats.org/officeDocument/2006/relationships/hyperlink" Target="http://torg.book-online.ru/photo_book/12026520.jpg" TargetMode="External"/><Relationship Id="rId98" Type="http://schemas.openxmlformats.org/officeDocument/2006/relationships/hyperlink" Target="http://torg.book-online.ru/photo_book/7954640.jpg" TargetMode="External"/><Relationship Id="rId163" Type="http://schemas.openxmlformats.org/officeDocument/2006/relationships/hyperlink" Target="http://torg.book-online.ru/photo_book/9797220.jpg" TargetMode="External"/><Relationship Id="rId370" Type="http://schemas.openxmlformats.org/officeDocument/2006/relationships/hyperlink" Target="http://torg.book-online.ru/photo_book/9671380.jpg" TargetMode="External"/><Relationship Id="rId829" Type="http://schemas.openxmlformats.org/officeDocument/2006/relationships/hyperlink" Target="http://torg.book-online.ru/photo_book/11079440.jpg" TargetMode="External"/><Relationship Id="rId1014" Type="http://schemas.openxmlformats.org/officeDocument/2006/relationships/hyperlink" Target="http://torg.book-online.ru/photo_book/10493090.jpg" TargetMode="External"/><Relationship Id="rId230" Type="http://schemas.openxmlformats.org/officeDocument/2006/relationships/hyperlink" Target="http://torg.book-online.ru/photo_book/9349270.jpg" TargetMode="External"/><Relationship Id="rId468" Type="http://schemas.openxmlformats.org/officeDocument/2006/relationships/hyperlink" Target="http://torg.book-online.ru/photo_book/10240320.jpg" TargetMode="External"/><Relationship Id="rId675" Type="http://schemas.openxmlformats.org/officeDocument/2006/relationships/hyperlink" Target="http://torg.book-online.ru/photo_book/9400490.jpg" TargetMode="External"/><Relationship Id="rId882" Type="http://schemas.openxmlformats.org/officeDocument/2006/relationships/hyperlink" Target="http://torg.book-online.ru/photo_book/9075720.jpg" TargetMode="External"/><Relationship Id="rId1098" Type="http://schemas.openxmlformats.org/officeDocument/2006/relationships/hyperlink" Target="http://torg.book-online.ru/photo_book/11540970.jpg" TargetMode="External"/><Relationship Id="rId25" Type="http://schemas.openxmlformats.org/officeDocument/2006/relationships/hyperlink" Target="http://torg.book-online.ru/photo_book/11566190.jpg" TargetMode="External"/><Relationship Id="rId328" Type="http://schemas.openxmlformats.org/officeDocument/2006/relationships/hyperlink" Target="http://torg.book-online.ru/photo_book/11145080.jpg" TargetMode="External"/><Relationship Id="rId535" Type="http://schemas.openxmlformats.org/officeDocument/2006/relationships/hyperlink" Target="http://torg.book-online.ru/photo_book/8558720.jpg" TargetMode="External"/><Relationship Id="rId742" Type="http://schemas.openxmlformats.org/officeDocument/2006/relationships/hyperlink" Target="http://torg.book-online.ru/photo_book/11600700.jpg" TargetMode="External"/><Relationship Id="rId1165" Type="http://schemas.openxmlformats.org/officeDocument/2006/relationships/hyperlink" Target="http://torg.book-online.ru/photo_book/11856820.jpg" TargetMode="External"/><Relationship Id="rId174" Type="http://schemas.openxmlformats.org/officeDocument/2006/relationships/hyperlink" Target="http://torg.book-online.ru/photo_book/10040030.jpg" TargetMode="External"/><Relationship Id="rId381" Type="http://schemas.openxmlformats.org/officeDocument/2006/relationships/hyperlink" Target="http://torg.book-online.ru/photo_book/9690150.jpg" TargetMode="External"/><Relationship Id="rId602" Type="http://schemas.openxmlformats.org/officeDocument/2006/relationships/hyperlink" Target="http://torg.book-online.ru/photo_book/11451670.jpg" TargetMode="External"/><Relationship Id="rId1025" Type="http://schemas.openxmlformats.org/officeDocument/2006/relationships/hyperlink" Target="http://torg.book-online.ru/photo_book/11012650.jpg" TargetMode="External"/><Relationship Id="rId241" Type="http://schemas.openxmlformats.org/officeDocument/2006/relationships/hyperlink" Target="http://torg.book-online.ru/photo_book/10401040.jpg" TargetMode="External"/><Relationship Id="rId479" Type="http://schemas.openxmlformats.org/officeDocument/2006/relationships/hyperlink" Target="http://torg.book-online.ru/photo_book/9610740.jpg" TargetMode="External"/><Relationship Id="rId686" Type="http://schemas.openxmlformats.org/officeDocument/2006/relationships/hyperlink" Target="http://torg.book-online.ru/photo_book/9768950.jpg" TargetMode="External"/><Relationship Id="rId893" Type="http://schemas.openxmlformats.org/officeDocument/2006/relationships/hyperlink" Target="http://torg.book-online.ru/photo_book/11436950.jpg" TargetMode="External"/><Relationship Id="rId907" Type="http://schemas.openxmlformats.org/officeDocument/2006/relationships/hyperlink" Target="http://torg.book-online.ru/photo_book/11198050.jpg" TargetMode="External"/><Relationship Id="rId36" Type="http://schemas.openxmlformats.org/officeDocument/2006/relationships/hyperlink" Target="http://torg.book-online.ru/photo_book/10452500.jpg" TargetMode="External"/><Relationship Id="rId339" Type="http://schemas.openxmlformats.org/officeDocument/2006/relationships/hyperlink" Target="http://torg.book-online.ru/photo_book/10994710.jpg" TargetMode="External"/><Relationship Id="rId546" Type="http://schemas.openxmlformats.org/officeDocument/2006/relationships/hyperlink" Target="http://torg.book-online.ru/photo_book/10541480.jpg" TargetMode="External"/><Relationship Id="rId753" Type="http://schemas.openxmlformats.org/officeDocument/2006/relationships/hyperlink" Target="http://torg.book-online.ru/photo_book/11612620.jpg" TargetMode="External"/><Relationship Id="rId101" Type="http://schemas.openxmlformats.org/officeDocument/2006/relationships/hyperlink" Target="http://torg.book-online.ru/photo_book/10309320.jpg" TargetMode="External"/><Relationship Id="rId185" Type="http://schemas.openxmlformats.org/officeDocument/2006/relationships/hyperlink" Target="http://torg.book-online.ru/photo_book/8723800.jpg" TargetMode="External"/><Relationship Id="rId406" Type="http://schemas.openxmlformats.org/officeDocument/2006/relationships/hyperlink" Target="http://torg.book-online.ru/photo_book/9825550.jpg" TargetMode="External"/><Relationship Id="rId960" Type="http://schemas.openxmlformats.org/officeDocument/2006/relationships/hyperlink" Target="http://torg.book-online.ru/photo_book/9690490.jpg" TargetMode="External"/><Relationship Id="rId1036" Type="http://schemas.openxmlformats.org/officeDocument/2006/relationships/hyperlink" Target="http://torg.book-online.ru/photo_book/8488670.jpg" TargetMode="External"/><Relationship Id="rId392" Type="http://schemas.openxmlformats.org/officeDocument/2006/relationships/hyperlink" Target="http://torg.book-online.ru/photo_book/8651730.jpg" TargetMode="External"/><Relationship Id="rId613" Type="http://schemas.openxmlformats.org/officeDocument/2006/relationships/hyperlink" Target="http://torg.book-online.ru/photo_book/9287070.jpg" TargetMode="External"/><Relationship Id="rId697" Type="http://schemas.openxmlformats.org/officeDocument/2006/relationships/hyperlink" Target="http://torg.book-online.ru/photo_book/8467010.jpg" TargetMode="External"/><Relationship Id="rId820" Type="http://schemas.openxmlformats.org/officeDocument/2006/relationships/hyperlink" Target="http://torg.book-online.ru/photo_book/9561480.jpg" TargetMode="External"/><Relationship Id="rId918" Type="http://schemas.openxmlformats.org/officeDocument/2006/relationships/hyperlink" Target="http://torg.book-online.ru/photo_book/9972830.jpg" TargetMode="External"/><Relationship Id="rId252" Type="http://schemas.openxmlformats.org/officeDocument/2006/relationships/hyperlink" Target="http://torg.book-online.ru/photo_book/9257030.jpg" TargetMode="External"/><Relationship Id="rId1103" Type="http://schemas.openxmlformats.org/officeDocument/2006/relationships/hyperlink" Target="http://torg.book-online.ru/photo_book/11540880.jpg" TargetMode="External"/><Relationship Id="rId47" Type="http://schemas.openxmlformats.org/officeDocument/2006/relationships/hyperlink" Target="http://torg.book-online.ru/photo_book/11680470.jpg" TargetMode="External"/><Relationship Id="rId112" Type="http://schemas.openxmlformats.org/officeDocument/2006/relationships/hyperlink" Target="http://torg.book-online.ru/photo_book/11030750.jpg" TargetMode="External"/><Relationship Id="rId557" Type="http://schemas.openxmlformats.org/officeDocument/2006/relationships/hyperlink" Target="http://torg.book-online.ru/photo_book/11038430.jpg" TargetMode="External"/><Relationship Id="rId764" Type="http://schemas.openxmlformats.org/officeDocument/2006/relationships/hyperlink" Target="http://torg.book-online.ru/photo_book/9691070.jpg" TargetMode="External"/><Relationship Id="rId971" Type="http://schemas.openxmlformats.org/officeDocument/2006/relationships/hyperlink" Target="http://torg.book-online.ru/photo_book/10497780.jpg" TargetMode="External"/><Relationship Id="rId196" Type="http://schemas.openxmlformats.org/officeDocument/2006/relationships/hyperlink" Target="http://torg.book-online.ru/photo_book/10134210.jpg" TargetMode="External"/><Relationship Id="rId417" Type="http://schemas.openxmlformats.org/officeDocument/2006/relationships/hyperlink" Target="http://torg.book-online.ru/photo_book/10566060.jpg" TargetMode="External"/><Relationship Id="rId624" Type="http://schemas.openxmlformats.org/officeDocument/2006/relationships/hyperlink" Target="http://torg.book-online.ru/photo_book/8138820.jpg" TargetMode="External"/><Relationship Id="rId831" Type="http://schemas.openxmlformats.org/officeDocument/2006/relationships/hyperlink" Target="http://torg.book-online.ru/photo_book/11079410.jpg" TargetMode="External"/><Relationship Id="rId1047" Type="http://schemas.openxmlformats.org/officeDocument/2006/relationships/hyperlink" Target="http://torg.book-online.ru/photo_book/11541280.jpg" TargetMode="External"/><Relationship Id="rId263" Type="http://schemas.openxmlformats.org/officeDocument/2006/relationships/hyperlink" Target="http://torg.book-online.ru/photo_book/9726270.jpg" TargetMode="External"/><Relationship Id="rId470" Type="http://schemas.openxmlformats.org/officeDocument/2006/relationships/hyperlink" Target="http://torg.book-online.ru/photo_book/10512000.jpg" TargetMode="External"/><Relationship Id="rId929" Type="http://schemas.openxmlformats.org/officeDocument/2006/relationships/hyperlink" Target="http://torg.book-online.ru/photo_book/10945520.jpg" TargetMode="External"/><Relationship Id="rId1114" Type="http://schemas.openxmlformats.org/officeDocument/2006/relationships/hyperlink" Target="http://torg.book-online.ru/photo_book/11541030.jpg" TargetMode="External"/><Relationship Id="rId58" Type="http://schemas.openxmlformats.org/officeDocument/2006/relationships/hyperlink" Target="http://torg.book-online.ru/photo_book/11576290.jpg" TargetMode="External"/><Relationship Id="rId123" Type="http://schemas.openxmlformats.org/officeDocument/2006/relationships/hyperlink" Target="http://torg.book-online.ru/photo_book/10442010.jpg" TargetMode="External"/><Relationship Id="rId330" Type="http://schemas.openxmlformats.org/officeDocument/2006/relationships/hyperlink" Target="http://torg.book-online.ru/photo_book/11436580.jpg" TargetMode="External"/><Relationship Id="rId568" Type="http://schemas.openxmlformats.org/officeDocument/2006/relationships/hyperlink" Target="http://torg.book-online.ru/photo_book/11451660.jpg" TargetMode="External"/><Relationship Id="rId775" Type="http://schemas.openxmlformats.org/officeDocument/2006/relationships/hyperlink" Target="http://torg.book-online.ru/photo_book/11224810.jpg" TargetMode="External"/><Relationship Id="rId982" Type="http://schemas.openxmlformats.org/officeDocument/2006/relationships/hyperlink" Target="http://torg.book-online.ru/photo_book/11264620.jpg" TargetMode="External"/><Relationship Id="rId428" Type="http://schemas.openxmlformats.org/officeDocument/2006/relationships/hyperlink" Target="http://torg.book-online.ru/photo_book/10384460.jpg" TargetMode="External"/><Relationship Id="rId635" Type="http://schemas.openxmlformats.org/officeDocument/2006/relationships/hyperlink" Target="http://torg.book-online.ru/photo_book/11712000.jpg" TargetMode="External"/><Relationship Id="rId842" Type="http://schemas.openxmlformats.org/officeDocument/2006/relationships/hyperlink" Target="http://torg.book-online.ru/photo_book/11498750.jpg" TargetMode="External"/><Relationship Id="rId1058" Type="http://schemas.openxmlformats.org/officeDocument/2006/relationships/hyperlink" Target="http://torg.book-online.ru/photo_book/11659740.jpg" TargetMode="External"/><Relationship Id="rId274" Type="http://schemas.openxmlformats.org/officeDocument/2006/relationships/hyperlink" Target="http://torg.book-online.ru/photo_book/6071320.jpg" TargetMode="External"/><Relationship Id="rId481" Type="http://schemas.openxmlformats.org/officeDocument/2006/relationships/hyperlink" Target="http://torg.book-online.ru/photo_book/8651700.jpg" TargetMode="External"/><Relationship Id="rId702" Type="http://schemas.openxmlformats.org/officeDocument/2006/relationships/hyperlink" Target="http://torg.book-online.ru/photo_book/10482280.jpg" TargetMode="External"/><Relationship Id="rId1125" Type="http://schemas.openxmlformats.org/officeDocument/2006/relationships/hyperlink" Target="http://torg.book-online.ru/photo_book/11541240.jpg" TargetMode="External"/><Relationship Id="rId69" Type="http://schemas.openxmlformats.org/officeDocument/2006/relationships/hyperlink" Target="http://torg.book-online.ru/photo_book/11810990.jpg" TargetMode="External"/><Relationship Id="rId134" Type="http://schemas.openxmlformats.org/officeDocument/2006/relationships/hyperlink" Target="http://torg.book-online.ru/photo_book/10406790.jpg" TargetMode="External"/><Relationship Id="rId579" Type="http://schemas.openxmlformats.org/officeDocument/2006/relationships/hyperlink" Target="http://torg.book-online.ru/photo_book/9745000.jpg" TargetMode="External"/><Relationship Id="rId786" Type="http://schemas.openxmlformats.org/officeDocument/2006/relationships/hyperlink" Target="http://torg.book-online.ru/photo_book/9563580.jpg" TargetMode="External"/><Relationship Id="rId993" Type="http://schemas.openxmlformats.org/officeDocument/2006/relationships/hyperlink" Target="http://torg.book-online.ru/photo_book/11610330.jpg" TargetMode="External"/><Relationship Id="rId341" Type="http://schemas.openxmlformats.org/officeDocument/2006/relationships/hyperlink" Target="http://torg.book-online.ru/photo_book/10535500.jpg" TargetMode="External"/><Relationship Id="rId439" Type="http://schemas.openxmlformats.org/officeDocument/2006/relationships/hyperlink" Target="http://torg.book-online.ru/photo_book/11199000.jpg" TargetMode="External"/><Relationship Id="rId646" Type="http://schemas.openxmlformats.org/officeDocument/2006/relationships/hyperlink" Target="http://torg.book-online.ru/photo_book/8897180.jpg" TargetMode="External"/><Relationship Id="rId1069" Type="http://schemas.openxmlformats.org/officeDocument/2006/relationships/hyperlink" Target="http://torg.book-online.ru/photo_book/12015850.jpg" TargetMode="External"/><Relationship Id="rId201" Type="http://schemas.openxmlformats.org/officeDocument/2006/relationships/hyperlink" Target="http://torg.book-online.ru/photo_book/10011850.jpg" TargetMode="External"/><Relationship Id="rId285" Type="http://schemas.openxmlformats.org/officeDocument/2006/relationships/hyperlink" Target="http://torg.book-online.ru/photo_book/10409470.jpg" TargetMode="External"/><Relationship Id="rId506" Type="http://schemas.openxmlformats.org/officeDocument/2006/relationships/hyperlink" Target="http://torg.book-online.ru/photo_book/11664240.jpg" TargetMode="External"/><Relationship Id="rId853" Type="http://schemas.openxmlformats.org/officeDocument/2006/relationships/hyperlink" Target="http://torg.book-online.ru/photo_book/10765580.jpg" TargetMode="External"/><Relationship Id="rId1136" Type="http://schemas.openxmlformats.org/officeDocument/2006/relationships/hyperlink" Target="http://torg.book-online.ru/photo_book/11673030.jpg" TargetMode="External"/><Relationship Id="rId492" Type="http://schemas.openxmlformats.org/officeDocument/2006/relationships/hyperlink" Target="http://torg.book-online.ru/photo_book/12068360.jpg" TargetMode="External"/><Relationship Id="rId713" Type="http://schemas.openxmlformats.org/officeDocument/2006/relationships/hyperlink" Target="http://torg.book-online.ru/photo_book/10530540.jpg" TargetMode="External"/><Relationship Id="rId797" Type="http://schemas.openxmlformats.org/officeDocument/2006/relationships/hyperlink" Target="http://torg.book-online.ru/photo_book/11372580.jpg" TargetMode="External"/><Relationship Id="rId920" Type="http://schemas.openxmlformats.org/officeDocument/2006/relationships/hyperlink" Target="http://torg.book-online.ru/photo_book/9680970.jpg" TargetMode="External"/><Relationship Id="rId145" Type="http://schemas.openxmlformats.org/officeDocument/2006/relationships/hyperlink" Target="http://torg.book-online.ru/photo_book/9855480.jpg" TargetMode="External"/><Relationship Id="rId352" Type="http://schemas.openxmlformats.org/officeDocument/2006/relationships/hyperlink" Target="http://torg.book-online.ru/photo_book/9776030.jpg" TargetMode="External"/><Relationship Id="rId212" Type="http://schemas.openxmlformats.org/officeDocument/2006/relationships/hyperlink" Target="http://torg.book-online.ru/photo_book/9679010.jpg" TargetMode="External"/><Relationship Id="rId657" Type="http://schemas.openxmlformats.org/officeDocument/2006/relationships/hyperlink" Target="http://torg.book-online.ru/photo_book/11018950.jpg" TargetMode="External"/><Relationship Id="rId864" Type="http://schemas.openxmlformats.org/officeDocument/2006/relationships/hyperlink" Target="http://torg.book-online.ru/photo_book/11951450.jpg" TargetMode="External"/><Relationship Id="rId296" Type="http://schemas.openxmlformats.org/officeDocument/2006/relationships/hyperlink" Target="http://torg.book-online.ru/photo_book/9271660.jpg" TargetMode="External"/><Relationship Id="rId517" Type="http://schemas.openxmlformats.org/officeDocument/2006/relationships/hyperlink" Target="http://torg.book-online.ru/photo_book/10165740.jpg" TargetMode="External"/><Relationship Id="rId724" Type="http://schemas.openxmlformats.org/officeDocument/2006/relationships/hyperlink" Target="http://torg.book-online.ru/photo_book/10473720.jpg" TargetMode="External"/><Relationship Id="rId931" Type="http://schemas.openxmlformats.org/officeDocument/2006/relationships/hyperlink" Target="http://torg.book-online.ru/photo_book/10409650.jpg" TargetMode="External"/><Relationship Id="rId1147" Type="http://schemas.openxmlformats.org/officeDocument/2006/relationships/hyperlink" Target="http://torg.book-online.ru/photo_book/11541050.jpg" TargetMode="External"/><Relationship Id="rId60" Type="http://schemas.openxmlformats.org/officeDocument/2006/relationships/hyperlink" Target="http://torg.book-online.ru/photo_book/11664320.jpg" TargetMode="External"/><Relationship Id="rId156" Type="http://schemas.openxmlformats.org/officeDocument/2006/relationships/hyperlink" Target="http://torg.book-online.ru/photo_book/9797710.jpg" TargetMode="External"/><Relationship Id="rId363" Type="http://schemas.openxmlformats.org/officeDocument/2006/relationships/hyperlink" Target="http://torg.book-online.ru/photo_book/10375040.jpg" TargetMode="External"/><Relationship Id="rId570" Type="http://schemas.openxmlformats.org/officeDocument/2006/relationships/hyperlink" Target="http://torg.book-online.ru/photo_book/11524160.jpg" TargetMode="External"/><Relationship Id="rId1007" Type="http://schemas.openxmlformats.org/officeDocument/2006/relationships/hyperlink" Target="http://torg.book-online.ru/photo_book/11592280.jpg" TargetMode="External"/><Relationship Id="rId223" Type="http://schemas.openxmlformats.org/officeDocument/2006/relationships/hyperlink" Target="http://torg.book-online.ru/photo_book/10462790.jpg" TargetMode="External"/><Relationship Id="rId430" Type="http://schemas.openxmlformats.org/officeDocument/2006/relationships/hyperlink" Target="http://torg.book-online.ru/photo_book/10394800.jpg" TargetMode="External"/><Relationship Id="rId668" Type="http://schemas.openxmlformats.org/officeDocument/2006/relationships/hyperlink" Target="http://torg.book-online.ru/photo_book/11599470.jpg" TargetMode="External"/><Relationship Id="rId875" Type="http://schemas.openxmlformats.org/officeDocument/2006/relationships/hyperlink" Target="http://torg.book-online.ru/photo_book/8808400.jpg" TargetMode="External"/><Relationship Id="rId1060" Type="http://schemas.openxmlformats.org/officeDocument/2006/relationships/hyperlink" Target="http://torg.book-online.ru/photo_book/12050580.jpg" TargetMode="External"/><Relationship Id="rId18" Type="http://schemas.openxmlformats.org/officeDocument/2006/relationships/hyperlink" Target="http://torg.book-online.ru/photo_book/11680430.jpg" TargetMode="External"/><Relationship Id="rId528" Type="http://schemas.openxmlformats.org/officeDocument/2006/relationships/hyperlink" Target="http://torg.book-online.ru/photo_book/11066370.jpg" TargetMode="External"/><Relationship Id="rId735" Type="http://schemas.openxmlformats.org/officeDocument/2006/relationships/hyperlink" Target="http://torg.book-online.ru/photo_book/10038000.jpg" TargetMode="External"/><Relationship Id="rId942" Type="http://schemas.openxmlformats.org/officeDocument/2006/relationships/hyperlink" Target="http://torg.book-online.ru/photo_book/10099090.jpg" TargetMode="External"/><Relationship Id="rId1158" Type="http://schemas.openxmlformats.org/officeDocument/2006/relationships/hyperlink" Target="http://torg.book-online.ru/photo_book/11575460.jpg" TargetMode="External"/><Relationship Id="rId167" Type="http://schemas.openxmlformats.org/officeDocument/2006/relationships/hyperlink" Target="http://torg.book-online.ru/photo_book/10945330.jpg" TargetMode="External"/><Relationship Id="rId374" Type="http://schemas.openxmlformats.org/officeDocument/2006/relationships/hyperlink" Target="http://torg.book-online.ru/photo_book/8465150.jpg" TargetMode="External"/><Relationship Id="rId581" Type="http://schemas.openxmlformats.org/officeDocument/2006/relationships/hyperlink" Target="http://torg.book-online.ru/photo_book/9744980.jpg" TargetMode="External"/><Relationship Id="rId1018" Type="http://schemas.openxmlformats.org/officeDocument/2006/relationships/hyperlink" Target="http://torg.book-online.ru/photo_book/9595520.jpg" TargetMode="External"/><Relationship Id="rId71" Type="http://schemas.openxmlformats.org/officeDocument/2006/relationships/hyperlink" Target="http://torg.book-online.ru/photo_book/12082510.jpg" TargetMode="External"/><Relationship Id="rId234" Type="http://schemas.openxmlformats.org/officeDocument/2006/relationships/hyperlink" Target="http://torg.book-online.ru/photo_book/10373400.jpg" TargetMode="External"/><Relationship Id="rId679" Type="http://schemas.openxmlformats.org/officeDocument/2006/relationships/hyperlink" Target="http://torg.book-online.ru/photo_book/11374570.jpg" TargetMode="External"/><Relationship Id="rId802" Type="http://schemas.openxmlformats.org/officeDocument/2006/relationships/hyperlink" Target="http://torg.book-online.ru/photo_book/11775340.jpg" TargetMode="External"/><Relationship Id="rId886" Type="http://schemas.openxmlformats.org/officeDocument/2006/relationships/hyperlink" Target="http://torg.book-online.ru/photo_book/11436940.jpg" TargetMode="External"/><Relationship Id="rId2" Type="http://schemas.openxmlformats.org/officeDocument/2006/relationships/hyperlink" Target="http://torg.book-online.ru/photo_book/11934350.jpg" TargetMode="External"/><Relationship Id="rId29" Type="http://schemas.openxmlformats.org/officeDocument/2006/relationships/hyperlink" Target="http://torg.book-online.ru/photo_book/11962330.jpg" TargetMode="External"/><Relationship Id="rId441" Type="http://schemas.openxmlformats.org/officeDocument/2006/relationships/hyperlink" Target="http://torg.book-online.ru/photo_book/9153000.jpg" TargetMode="External"/><Relationship Id="rId539" Type="http://schemas.openxmlformats.org/officeDocument/2006/relationships/hyperlink" Target="http://torg.book-online.ru/photo_book/9258180.jpg" TargetMode="External"/><Relationship Id="rId746" Type="http://schemas.openxmlformats.org/officeDocument/2006/relationships/hyperlink" Target="http://torg.book-online.ru/photo_book/11603300.jpg" TargetMode="External"/><Relationship Id="rId1071" Type="http://schemas.openxmlformats.org/officeDocument/2006/relationships/hyperlink" Target="http://torg.book-online.ru/photo_book/11739090.jpg" TargetMode="External"/><Relationship Id="rId1169" Type="http://schemas.openxmlformats.org/officeDocument/2006/relationships/hyperlink" Target="http://torg.book-online.ru/photo_book/11541310.jpg" TargetMode="External"/><Relationship Id="rId178" Type="http://schemas.openxmlformats.org/officeDocument/2006/relationships/hyperlink" Target="http://torg.book-online.ru/photo_book/11092210.jpg" TargetMode="External"/><Relationship Id="rId301" Type="http://schemas.openxmlformats.org/officeDocument/2006/relationships/hyperlink" Target="http://torg.book-online.ru/photo_book/9284070.jpg" TargetMode="External"/><Relationship Id="rId953" Type="http://schemas.openxmlformats.org/officeDocument/2006/relationships/hyperlink" Target="http://torg.book-online.ru/photo_book/8477990.jpg" TargetMode="External"/><Relationship Id="rId1029" Type="http://schemas.openxmlformats.org/officeDocument/2006/relationships/hyperlink" Target="http://torg.book-online.ru/photo_book/7917800.jpg" TargetMode="External"/><Relationship Id="rId82" Type="http://schemas.openxmlformats.org/officeDocument/2006/relationships/hyperlink" Target="http://torg.book-online.ru/photo_book/11959190.jpg" TargetMode="External"/><Relationship Id="rId385" Type="http://schemas.openxmlformats.org/officeDocument/2006/relationships/hyperlink" Target="http://torg.book-online.ru/photo_book/9702190.jpg" TargetMode="External"/><Relationship Id="rId592" Type="http://schemas.openxmlformats.org/officeDocument/2006/relationships/hyperlink" Target="http://torg.book-online.ru/photo_book/10440380.jpg" TargetMode="External"/><Relationship Id="rId606" Type="http://schemas.openxmlformats.org/officeDocument/2006/relationships/hyperlink" Target="http://torg.book-online.ru/photo_book/10413220.jpg" TargetMode="External"/><Relationship Id="rId813" Type="http://schemas.openxmlformats.org/officeDocument/2006/relationships/hyperlink" Target="http://torg.book-online.ru/photo_book/9086280.jpg" TargetMode="External"/><Relationship Id="rId245" Type="http://schemas.openxmlformats.org/officeDocument/2006/relationships/hyperlink" Target="http://torg.book-online.ru/photo_book/9256450.jpg" TargetMode="External"/><Relationship Id="rId452" Type="http://schemas.openxmlformats.org/officeDocument/2006/relationships/hyperlink" Target="http://torg.book-online.ru/photo_book/9494740.jpg" TargetMode="External"/><Relationship Id="rId897" Type="http://schemas.openxmlformats.org/officeDocument/2006/relationships/hyperlink" Target="http://torg.book-online.ru/photo_book/9743250.jpg" TargetMode="External"/><Relationship Id="rId1082" Type="http://schemas.openxmlformats.org/officeDocument/2006/relationships/hyperlink" Target="http://torg.book-online.ru/photo_book/11541440.jpg" TargetMode="External"/><Relationship Id="rId105" Type="http://schemas.openxmlformats.org/officeDocument/2006/relationships/hyperlink" Target="http://torg.book-online.ru/photo_book/9588170.jpg" TargetMode="External"/><Relationship Id="rId312" Type="http://schemas.openxmlformats.org/officeDocument/2006/relationships/hyperlink" Target="http://torg.book-online.ru/photo_book/11095770.jpg" TargetMode="External"/><Relationship Id="rId757" Type="http://schemas.openxmlformats.org/officeDocument/2006/relationships/hyperlink" Target="http://torg.book-online.ru/photo_book/9688010.jpg" TargetMode="External"/><Relationship Id="rId964" Type="http://schemas.openxmlformats.org/officeDocument/2006/relationships/hyperlink" Target="http://torg.book-online.ru/photo_book/7666990.jpg" TargetMode="External"/><Relationship Id="rId93" Type="http://schemas.openxmlformats.org/officeDocument/2006/relationships/hyperlink" Target="http://torg.book-online.ru/photo_book/11195960.jpg" TargetMode="External"/><Relationship Id="rId189" Type="http://schemas.openxmlformats.org/officeDocument/2006/relationships/hyperlink" Target="http://torg.book-online.ru/photo_book/10238800.jpg" TargetMode="External"/><Relationship Id="rId396" Type="http://schemas.openxmlformats.org/officeDocument/2006/relationships/hyperlink" Target="http://torg.book-online.ru/photo_book/12030820.jpg" TargetMode="External"/><Relationship Id="rId617" Type="http://schemas.openxmlformats.org/officeDocument/2006/relationships/hyperlink" Target="http://torg.book-online.ru/photo_book/11067770.jpg" TargetMode="External"/><Relationship Id="rId824" Type="http://schemas.openxmlformats.org/officeDocument/2006/relationships/hyperlink" Target="http://torg.book-online.ru/photo_book/10425850.jpg" TargetMode="External"/><Relationship Id="rId256" Type="http://schemas.openxmlformats.org/officeDocument/2006/relationships/hyperlink" Target="http://torg.book-online.ru/photo_book/9735220.jpg" TargetMode="External"/><Relationship Id="rId463" Type="http://schemas.openxmlformats.org/officeDocument/2006/relationships/hyperlink" Target="http://torg.book-online.ru/photo_book/10025130.jpg" TargetMode="External"/><Relationship Id="rId670" Type="http://schemas.openxmlformats.org/officeDocument/2006/relationships/hyperlink" Target="http://torg.book-online.ru/photo_book/9447370.jpg" TargetMode="External"/><Relationship Id="rId1093" Type="http://schemas.openxmlformats.org/officeDocument/2006/relationships/hyperlink" Target="http://torg.book-online.ru/photo_book/11540990.jpg" TargetMode="External"/><Relationship Id="rId1107" Type="http://schemas.openxmlformats.org/officeDocument/2006/relationships/hyperlink" Target="http://torg.book-online.ru/photo_book/11541110.jpg" TargetMode="External"/><Relationship Id="rId116" Type="http://schemas.openxmlformats.org/officeDocument/2006/relationships/hyperlink" Target="http://torg.book-online.ru/photo_book/10482760.jpg" TargetMode="External"/><Relationship Id="rId323" Type="http://schemas.openxmlformats.org/officeDocument/2006/relationships/hyperlink" Target="http://torg.book-online.ru/photo_book/11578620.jpg" TargetMode="External"/><Relationship Id="rId530" Type="http://schemas.openxmlformats.org/officeDocument/2006/relationships/hyperlink" Target="http://torg.book-online.ru/photo_book/11650520.jpg" TargetMode="External"/><Relationship Id="rId768" Type="http://schemas.openxmlformats.org/officeDocument/2006/relationships/hyperlink" Target="http://torg.book-online.ru/photo_book/9051830.jpg" TargetMode="External"/><Relationship Id="rId975" Type="http://schemas.openxmlformats.org/officeDocument/2006/relationships/hyperlink" Target="http://torg.book-online.ru/photo_book/11613200.jpg" TargetMode="External"/><Relationship Id="rId1160" Type="http://schemas.openxmlformats.org/officeDocument/2006/relationships/hyperlink" Target="http://torg.book-online.ru/photo_book/11541070.jpg" TargetMode="External"/><Relationship Id="rId20" Type="http://schemas.openxmlformats.org/officeDocument/2006/relationships/hyperlink" Target="http://torg.book-online.ru/photo_book/11680400.jpg" TargetMode="External"/><Relationship Id="rId628" Type="http://schemas.openxmlformats.org/officeDocument/2006/relationships/hyperlink" Target="http://torg.book-online.ru/photo_book/10777990.jpg" TargetMode="External"/><Relationship Id="rId835" Type="http://schemas.openxmlformats.org/officeDocument/2006/relationships/hyperlink" Target="http://torg.book-online.ru/photo_book/8989680.jpg" TargetMode="External"/><Relationship Id="rId267" Type="http://schemas.openxmlformats.org/officeDocument/2006/relationships/hyperlink" Target="http://torg.book-online.ru/photo_book/9273050.jpg" TargetMode="External"/><Relationship Id="rId474" Type="http://schemas.openxmlformats.org/officeDocument/2006/relationships/hyperlink" Target="http://torg.book-online.ru/photo_book/7923680.jpg" TargetMode="External"/><Relationship Id="rId1020" Type="http://schemas.openxmlformats.org/officeDocument/2006/relationships/hyperlink" Target="http://torg.book-online.ru/photo_book/11782510.jpg" TargetMode="External"/><Relationship Id="rId1118" Type="http://schemas.openxmlformats.org/officeDocument/2006/relationships/hyperlink" Target="http://torg.book-online.ru/photo_book/11541420.jpg" TargetMode="External"/><Relationship Id="rId127" Type="http://schemas.openxmlformats.org/officeDocument/2006/relationships/hyperlink" Target="http://torg.book-online.ru/photo_book/10408250.jpg" TargetMode="External"/><Relationship Id="rId681" Type="http://schemas.openxmlformats.org/officeDocument/2006/relationships/hyperlink" Target="http://torg.book-online.ru/photo_book/9078560.jpg" TargetMode="External"/><Relationship Id="rId779" Type="http://schemas.openxmlformats.org/officeDocument/2006/relationships/hyperlink" Target="http://torg.book-online.ru/photo_book/9734040.jpg" TargetMode="External"/><Relationship Id="rId902" Type="http://schemas.openxmlformats.org/officeDocument/2006/relationships/hyperlink" Target="http://torg.book-online.ru/photo_book/11086270.jpg" TargetMode="External"/><Relationship Id="rId986" Type="http://schemas.openxmlformats.org/officeDocument/2006/relationships/hyperlink" Target="http://torg.book-online.ru/photo_book/11572440.jpg" TargetMode="External"/><Relationship Id="rId31" Type="http://schemas.openxmlformats.org/officeDocument/2006/relationships/hyperlink" Target="http://torg.book-online.ru/photo_book/11293150.jpg" TargetMode="External"/><Relationship Id="rId334" Type="http://schemas.openxmlformats.org/officeDocument/2006/relationships/hyperlink" Target="http://torg.book-online.ru/photo_book/11664340.jpg" TargetMode="External"/><Relationship Id="rId541" Type="http://schemas.openxmlformats.org/officeDocument/2006/relationships/hyperlink" Target="http://torg.book-online.ru/photo_book/8016770.jpg" TargetMode="External"/><Relationship Id="rId639" Type="http://schemas.openxmlformats.org/officeDocument/2006/relationships/hyperlink" Target="http://torg.book-online.ru/photo_book/9578490.jpg" TargetMode="External"/><Relationship Id="rId1171" Type="http://schemas.openxmlformats.org/officeDocument/2006/relationships/hyperlink" Target="http://torg.book-online.ru/photo_book/11803810.jpg" TargetMode="External"/><Relationship Id="rId180" Type="http://schemas.openxmlformats.org/officeDocument/2006/relationships/hyperlink" Target="http://torg.book-online.ru/photo_book/9705110.jpg" TargetMode="External"/><Relationship Id="rId278" Type="http://schemas.openxmlformats.org/officeDocument/2006/relationships/hyperlink" Target="http://torg.book-online.ru/photo_book/8613260.jpg" TargetMode="External"/><Relationship Id="rId401" Type="http://schemas.openxmlformats.org/officeDocument/2006/relationships/hyperlink" Target="http://torg.book-online.ru/photo_book/6715860.jpg" TargetMode="External"/><Relationship Id="rId846" Type="http://schemas.openxmlformats.org/officeDocument/2006/relationships/hyperlink" Target="http://torg.book-online.ru/photo_book/11468020.jpg" TargetMode="External"/><Relationship Id="rId1031" Type="http://schemas.openxmlformats.org/officeDocument/2006/relationships/hyperlink" Target="http://torg.book-online.ru/photo_book/10724680.jpg" TargetMode="External"/><Relationship Id="rId1129" Type="http://schemas.openxmlformats.org/officeDocument/2006/relationships/hyperlink" Target="http://torg.book-online.ru/photo_book/11541180.jpg" TargetMode="External"/><Relationship Id="rId485" Type="http://schemas.openxmlformats.org/officeDocument/2006/relationships/hyperlink" Target="http://torg.book-online.ru/photo_book/8872230.jpg" TargetMode="External"/><Relationship Id="rId692" Type="http://schemas.openxmlformats.org/officeDocument/2006/relationships/hyperlink" Target="http://torg.book-online.ru/photo_book/9632720.jpg" TargetMode="External"/><Relationship Id="rId706" Type="http://schemas.openxmlformats.org/officeDocument/2006/relationships/hyperlink" Target="http://torg.book-online.ru/photo_book/10019590.jpg" TargetMode="External"/><Relationship Id="rId913" Type="http://schemas.openxmlformats.org/officeDocument/2006/relationships/hyperlink" Target="http://torg.book-online.ru/photo_book/11116450.jpg" TargetMode="External"/><Relationship Id="rId42" Type="http://schemas.openxmlformats.org/officeDocument/2006/relationships/hyperlink" Target="http://torg.book-online.ru/photo_book/11964960.jpg" TargetMode="External"/><Relationship Id="rId138" Type="http://schemas.openxmlformats.org/officeDocument/2006/relationships/hyperlink" Target="http://torg.book-online.ru/photo_book/10452720.jpg" TargetMode="External"/><Relationship Id="rId345" Type="http://schemas.openxmlformats.org/officeDocument/2006/relationships/hyperlink" Target="http://torg.book-online.ru/photo_book/11664160.jpg" TargetMode="External"/><Relationship Id="rId552" Type="http://schemas.openxmlformats.org/officeDocument/2006/relationships/hyperlink" Target="http://torg.book-online.ru/photo_book/10814090.jpg" TargetMode="External"/><Relationship Id="rId997" Type="http://schemas.openxmlformats.org/officeDocument/2006/relationships/hyperlink" Target="http://torg.book-online.ru/photo_book/11610300.jpg" TargetMode="External"/><Relationship Id="rId191" Type="http://schemas.openxmlformats.org/officeDocument/2006/relationships/hyperlink" Target="http://torg.book-online.ru/photo_book/9764190.jpg" TargetMode="External"/><Relationship Id="rId205" Type="http://schemas.openxmlformats.org/officeDocument/2006/relationships/hyperlink" Target="http://torg.book-online.ru/photo_book/8621150.jpg" TargetMode="External"/><Relationship Id="rId412" Type="http://schemas.openxmlformats.org/officeDocument/2006/relationships/hyperlink" Target="http://torg.book-online.ru/photo_book/11953460.jpg" TargetMode="External"/><Relationship Id="rId857" Type="http://schemas.openxmlformats.org/officeDocument/2006/relationships/hyperlink" Target="http://torg.book-online.ru/photo_book/11159450.jpg" TargetMode="External"/><Relationship Id="rId1042" Type="http://schemas.openxmlformats.org/officeDocument/2006/relationships/hyperlink" Target="http://torg.book-online.ru/photo_book/10739180.jpg" TargetMode="External"/><Relationship Id="rId289" Type="http://schemas.openxmlformats.org/officeDocument/2006/relationships/hyperlink" Target="http://torg.book-online.ru/photo_book/9703310.jpg" TargetMode="External"/><Relationship Id="rId496" Type="http://schemas.openxmlformats.org/officeDocument/2006/relationships/hyperlink" Target="http://torg.book-online.ru/photo_book/7452810.jpg" TargetMode="External"/><Relationship Id="rId717" Type="http://schemas.openxmlformats.org/officeDocument/2006/relationships/hyperlink" Target="http://torg.book-online.ru/photo_book/7228410.jpg" TargetMode="External"/><Relationship Id="rId924" Type="http://schemas.openxmlformats.org/officeDocument/2006/relationships/hyperlink" Target="http://torg.book-online.ru/photo_book/7971010.jpg" TargetMode="External"/><Relationship Id="rId11" Type="http://schemas.openxmlformats.org/officeDocument/2006/relationships/hyperlink" Target="http://torg.book-online.ru/photo_book/12029760.jpg" TargetMode="External"/><Relationship Id="rId53" Type="http://schemas.openxmlformats.org/officeDocument/2006/relationships/hyperlink" Target="http://torg.book-online.ru/photo_book/11782470.jpg" TargetMode="External"/><Relationship Id="rId149" Type="http://schemas.openxmlformats.org/officeDocument/2006/relationships/hyperlink" Target="http://torg.book-online.ru/photo_book/11375720.jpg" TargetMode="External"/><Relationship Id="rId314" Type="http://schemas.openxmlformats.org/officeDocument/2006/relationships/hyperlink" Target="http://torg.book-online.ru/photo_book/9549470.jpg" TargetMode="External"/><Relationship Id="rId356" Type="http://schemas.openxmlformats.org/officeDocument/2006/relationships/hyperlink" Target="http://torg.book-online.ru/photo_book/10033500.jpg" TargetMode="External"/><Relationship Id="rId398" Type="http://schemas.openxmlformats.org/officeDocument/2006/relationships/hyperlink" Target="http://torg.book-online.ru/photo_book/9968080.jpg" TargetMode="External"/><Relationship Id="rId521" Type="http://schemas.openxmlformats.org/officeDocument/2006/relationships/hyperlink" Target="http://torg.book-online.ru/photo_book/11081870.jpg" TargetMode="External"/><Relationship Id="rId563" Type="http://schemas.openxmlformats.org/officeDocument/2006/relationships/hyperlink" Target="http://torg.book-online.ru/photo_book/11175100.jpg" TargetMode="External"/><Relationship Id="rId619" Type="http://schemas.openxmlformats.org/officeDocument/2006/relationships/hyperlink" Target="http://torg.book-online.ru/photo_book/9735160.jpg" TargetMode="External"/><Relationship Id="rId770" Type="http://schemas.openxmlformats.org/officeDocument/2006/relationships/hyperlink" Target="http://torg.book-online.ru/photo_book/11693680.jpg" TargetMode="External"/><Relationship Id="rId1151" Type="http://schemas.openxmlformats.org/officeDocument/2006/relationships/hyperlink" Target="http://torg.book-online.ru/photo_book/11592320.jpg" TargetMode="External"/><Relationship Id="rId95" Type="http://schemas.openxmlformats.org/officeDocument/2006/relationships/hyperlink" Target="http://torg.book-online.ru/photo_book/11664300.jpg" TargetMode="External"/><Relationship Id="rId160" Type="http://schemas.openxmlformats.org/officeDocument/2006/relationships/hyperlink" Target="http://torg.book-online.ru/photo_book/10012060.jpg" TargetMode="External"/><Relationship Id="rId216" Type="http://schemas.openxmlformats.org/officeDocument/2006/relationships/hyperlink" Target="http://torg.book-online.ru/photo_book/9821490.jpg" TargetMode="External"/><Relationship Id="rId423" Type="http://schemas.openxmlformats.org/officeDocument/2006/relationships/hyperlink" Target="http://torg.book-online.ru/photo_book/9111480.jpg" TargetMode="External"/><Relationship Id="rId826" Type="http://schemas.openxmlformats.org/officeDocument/2006/relationships/hyperlink" Target="http://torg.book-online.ru/photo_book/11003180.jpg" TargetMode="External"/><Relationship Id="rId868" Type="http://schemas.openxmlformats.org/officeDocument/2006/relationships/hyperlink" Target="http://torg.book-online.ru/photo_book/10747780.jpg" TargetMode="External"/><Relationship Id="rId1011" Type="http://schemas.openxmlformats.org/officeDocument/2006/relationships/hyperlink" Target="http://torg.book-online.ru/photo_book/9857540.jpg" TargetMode="External"/><Relationship Id="rId1053" Type="http://schemas.openxmlformats.org/officeDocument/2006/relationships/hyperlink" Target="http://torg.book-online.ru/photo_book/11757510.jpg" TargetMode="External"/><Relationship Id="rId1109" Type="http://schemas.openxmlformats.org/officeDocument/2006/relationships/hyperlink" Target="http://torg.book-online.ru/photo_book/11540890.jpg" TargetMode="External"/><Relationship Id="rId258" Type="http://schemas.openxmlformats.org/officeDocument/2006/relationships/hyperlink" Target="http://torg.book-online.ru/photo_book/10943820.jpg" TargetMode="External"/><Relationship Id="rId465" Type="http://schemas.openxmlformats.org/officeDocument/2006/relationships/hyperlink" Target="http://torg.book-online.ru/photo_book/11490200.jpg" TargetMode="External"/><Relationship Id="rId630" Type="http://schemas.openxmlformats.org/officeDocument/2006/relationships/hyperlink" Target="http://torg.book-online.ru/photo_book/8470160.jpg" TargetMode="External"/><Relationship Id="rId672" Type="http://schemas.openxmlformats.org/officeDocument/2006/relationships/hyperlink" Target="http://torg.book-online.ru/photo_book/10748480.jpg" TargetMode="External"/><Relationship Id="rId728" Type="http://schemas.openxmlformats.org/officeDocument/2006/relationships/hyperlink" Target="http://torg.book-online.ru/photo_book/8297310.jpg" TargetMode="External"/><Relationship Id="rId935" Type="http://schemas.openxmlformats.org/officeDocument/2006/relationships/hyperlink" Target="http://torg.book-online.ru/photo_book/8979210.jpg" TargetMode="External"/><Relationship Id="rId1095" Type="http://schemas.openxmlformats.org/officeDocument/2006/relationships/hyperlink" Target="http://torg.book-online.ru/photo_book/11540960.jpg" TargetMode="External"/><Relationship Id="rId22" Type="http://schemas.openxmlformats.org/officeDocument/2006/relationships/hyperlink" Target="http://torg.book-online.ru/photo_book/11462130.jpg" TargetMode="External"/><Relationship Id="rId64" Type="http://schemas.openxmlformats.org/officeDocument/2006/relationships/hyperlink" Target="http://torg.book-online.ru/photo_book/11220600.jpg" TargetMode="External"/><Relationship Id="rId118" Type="http://schemas.openxmlformats.org/officeDocument/2006/relationships/hyperlink" Target="http://torg.book-online.ru/photo_book/10483360.jpg" TargetMode="External"/><Relationship Id="rId325" Type="http://schemas.openxmlformats.org/officeDocument/2006/relationships/hyperlink" Target="http://torg.book-online.ru/photo_book/11436270.jpg" TargetMode="External"/><Relationship Id="rId367" Type="http://schemas.openxmlformats.org/officeDocument/2006/relationships/hyperlink" Target="http://torg.book-online.ru/photo_book/10292800.jpg" TargetMode="External"/><Relationship Id="rId532" Type="http://schemas.openxmlformats.org/officeDocument/2006/relationships/hyperlink" Target="http://torg.book-online.ru/photo_book/6727220.jpg" TargetMode="External"/><Relationship Id="rId574" Type="http://schemas.openxmlformats.org/officeDocument/2006/relationships/hyperlink" Target="http://torg.book-online.ru/photo_book/11498410.jpg" TargetMode="External"/><Relationship Id="rId977" Type="http://schemas.openxmlformats.org/officeDocument/2006/relationships/hyperlink" Target="http://torg.book-online.ru/photo_book/11613210.jpg" TargetMode="External"/><Relationship Id="rId1120" Type="http://schemas.openxmlformats.org/officeDocument/2006/relationships/hyperlink" Target="http://torg.book-online.ru/photo_book/11541410.jpg" TargetMode="External"/><Relationship Id="rId1162" Type="http://schemas.openxmlformats.org/officeDocument/2006/relationships/hyperlink" Target="http://torg.book-online.ru/photo_book/12067440.jpg" TargetMode="External"/><Relationship Id="rId171" Type="http://schemas.openxmlformats.org/officeDocument/2006/relationships/hyperlink" Target="http://torg.book-online.ru/photo_book/11746640.jpg" TargetMode="External"/><Relationship Id="rId227" Type="http://schemas.openxmlformats.org/officeDocument/2006/relationships/hyperlink" Target="http://torg.book-online.ru/photo_book/11420000.jpg" TargetMode="External"/><Relationship Id="rId781" Type="http://schemas.openxmlformats.org/officeDocument/2006/relationships/hyperlink" Target="http://torg.book-online.ru/photo_book/6054250.jpg" TargetMode="External"/><Relationship Id="rId837" Type="http://schemas.openxmlformats.org/officeDocument/2006/relationships/hyperlink" Target="http://torg.book-online.ru/photo_book/11498970.jpg" TargetMode="External"/><Relationship Id="rId879" Type="http://schemas.openxmlformats.org/officeDocument/2006/relationships/hyperlink" Target="http://torg.book-online.ru/photo_book/10196890.jpg" TargetMode="External"/><Relationship Id="rId1022" Type="http://schemas.openxmlformats.org/officeDocument/2006/relationships/hyperlink" Target="http://torg.book-online.ru/photo_book/11012580.jpg" TargetMode="External"/><Relationship Id="rId269" Type="http://schemas.openxmlformats.org/officeDocument/2006/relationships/hyperlink" Target="http://torg.book-online.ru/photo_book/9270860.jpg" TargetMode="External"/><Relationship Id="rId434" Type="http://schemas.openxmlformats.org/officeDocument/2006/relationships/hyperlink" Target="http://torg.book-online.ru/photo_book/9501490.jpg" TargetMode="External"/><Relationship Id="rId476" Type="http://schemas.openxmlformats.org/officeDocument/2006/relationships/hyperlink" Target="http://torg.book-online.ru/photo_book/8987070.jpg" TargetMode="External"/><Relationship Id="rId641" Type="http://schemas.openxmlformats.org/officeDocument/2006/relationships/hyperlink" Target="http://torg.book-online.ru/photo_book/9577940.jpg" TargetMode="External"/><Relationship Id="rId683" Type="http://schemas.openxmlformats.org/officeDocument/2006/relationships/hyperlink" Target="http://torg.book-online.ru/photo_book/9646120.jpg" TargetMode="External"/><Relationship Id="rId739" Type="http://schemas.openxmlformats.org/officeDocument/2006/relationships/hyperlink" Target="http://torg.book-online.ru/photo_book/11775700.jpg" TargetMode="External"/><Relationship Id="rId890" Type="http://schemas.openxmlformats.org/officeDocument/2006/relationships/hyperlink" Target="http://torg.book-online.ru/photo_book/11012630.jpg" TargetMode="External"/><Relationship Id="rId904" Type="http://schemas.openxmlformats.org/officeDocument/2006/relationships/hyperlink" Target="http://torg.book-online.ru/photo_book/11436900.jpg" TargetMode="External"/><Relationship Id="rId1064" Type="http://schemas.openxmlformats.org/officeDocument/2006/relationships/hyperlink" Target="http://torg.book-online.ru/photo_book/11541010.jpg" TargetMode="External"/><Relationship Id="rId33" Type="http://schemas.openxmlformats.org/officeDocument/2006/relationships/hyperlink" Target="http://torg.book-online.ru/photo_book/12082460.jpg" TargetMode="External"/><Relationship Id="rId129" Type="http://schemas.openxmlformats.org/officeDocument/2006/relationships/hyperlink" Target="http://torg.book-online.ru/photo_book/10451050.jpg" TargetMode="External"/><Relationship Id="rId280" Type="http://schemas.openxmlformats.org/officeDocument/2006/relationships/hyperlink" Target="http://torg.book-online.ru/photo_book/8203920.jpg" TargetMode="External"/><Relationship Id="rId336" Type="http://schemas.openxmlformats.org/officeDocument/2006/relationships/hyperlink" Target="http://torg.book-online.ru/photo_book/11290130.jpg" TargetMode="External"/><Relationship Id="rId501" Type="http://schemas.openxmlformats.org/officeDocument/2006/relationships/hyperlink" Target="http://torg.book-online.ru/photo_book/8228590.jpg" TargetMode="External"/><Relationship Id="rId543" Type="http://schemas.openxmlformats.org/officeDocument/2006/relationships/hyperlink" Target="http://torg.book-online.ru/photo_book/10806940.jpg" TargetMode="External"/><Relationship Id="rId946" Type="http://schemas.openxmlformats.org/officeDocument/2006/relationships/hyperlink" Target="http://torg.book-online.ru/photo_book/10238910.jpg" TargetMode="External"/><Relationship Id="rId988" Type="http://schemas.openxmlformats.org/officeDocument/2006/relationships/hyperlink" Target="http://torg.book-online.ru/photo_book/11388120.jpg" TargetMode="External"/><Relationship Id="rId1131" Type="http://schemas.openxmlformats.org/officeDocument/2006/relationships/hyperlink" Target="http://torg.book-online.ru/photo_book/12082470.jpg" TargetMode="External"/><Relationship Id="rId75" Type="http://schemas.openxmlformats.org/officeDocument/2006/relationships/hyperlink" Target="http://torg.book-online.ru/photo_book/11747030.jpg" TargetMode="External"/><Relationship Id="rId140" Type="http://schemas.openxmlformats.org/officeDocument/2006/relationships/hyperlink" Target="http://torg.book-online.ru/photo_book/9675950.jpg" TargetMode="External"/><Relationship Id="rId182" Type="http://schemas.openxmlformats.org/officeDocument/2006/relationships/hyperlink" Target="http://torg.book-online.ru/photo_book/9690140.jpg" TargetMode="External"/><Relationship Id="rId378" Type="http://schemas.openxmlformats.org/officeDocument/2006/relationships/hyperlink" Target="http://torg.book-online.ru/photo_book/9150950.jpg" TargetMode="External"/><Relationship Id="rId403" Type="http://schemas.openxmlformats.org/officeDocument/2006/relationships/hyperlink" Target="http://torg.book-online.ru/photo_book/9549460.jpg" TargetMode="External"/><Relationship Id="rId585" Type="http://schemas.openxmlformats.org/officeDocument/2006/relationships/hyperlink" Target="http://torg.book-online.ru/photo_book/9796790.jpg" TargetMode="External"/><Relationship Id="rId750" Type="http://schemas.openxmlformats.org/officeDocument/2006/relationships/hyperlink" Target="http://torg.book-online.ru/photo_book/11782560.jpg" TargetMode="External"/><Relationship Id="rId792" Type="http://schemas.openxmlformats.org/officeDocument/2006/relationships/hyperlink" Target="http://torg.book-online.ru/photo_book/12062920.jpg" TargetMode="External"/><Relationship Id="rId806" Type="http://schemas.openxmlformats.org/officeDocument/2006/relationships/hyperlink" Target="http://torg.book-online.ru/photo_book/11184820.jpg" TargetMode="External"/><Relationship Id="rId848" Type="http://schemas.openxmlformats.org/officeDocument/2006/relationships/hyperlink" Target="http://torg.book-online.ru/photo_book/11468030.jpg" TargetMode="External"/><Relationship Id="rId1033" Type="http://schemas.openxmlformats.org/officeDocument/2006/relationships/hyperlink" Target="http://torg.book-online.ru/photo_book/7692530.jpg" TargetMode="External"/><Relationship Id="rId6" Type="http://schemas.openxmlformats.org/officeDocument/2006/relationships/hyperlink" Target="http://torg.book-online.ru/photo_book/11792080.jpg" TargetMode="External"/><Relationship Id="rId238" Type="http://schemas.openxmlformats.org/officeDocument/2006/relationships/hyperlink" Target="http://torg.book-online.ru/photo_book/11116440.jpg" TargetMode="External"/><Relationship Id="rId445" Type="http://schemas.openxmlformats.org/officeDocument/2006/relationships/hyperlink" Target="http://torg.book-online.ru/photo_book/9631220.jpg" TargetMode="External"/><Relationship Id="rId487" Type="http://schemas.openxmlformats.org/officeDocument/2006/relationships/hyperlink" Target="http://torg.book-online.ru/photo_book/10735240.jpg" TargetMode="External"/><Relationship Id="rId610" Type="http://schemas.openxmlformats.org/officeDocument/2006/relationships/hyperlink" Target="http://torg.book-online.ru/photo_book/9656090.jpg" TargetMode="External"/><Relationship Id="rId652" Type="http://schemas.openxmlformats.org/officeDocument/2006/relationships/hyperlink" Target="http://torg.book-online.ru/photo_book/9725200.jpg" TargetMode="External"/><Relationship Id="rId694" Type="http://schemas.openxmlformats.org/officeDocument/2006/relationships/hyperlink" Target="http://torg.book-online.ru/photo_book/10419660.jpg" TargetMode="External"/><Relationship Id="rId708" Type="http://schemas.openxmlformats.org/officeDocument/2006/relationships/hyperlink" Target="http://torg.book-online.ru/photo_book/10170730.jpg" TargetMode="External"/><Relationship Id="rId915" Type="http://schemas.openxmlformats.org/officeDocument/2006/relationships/hyperlink" Target="http://torg.book-online.ru/photo_book/11155880.jpg" TargetMode="External"/><Relationship Id="rId1075" Type="http://schemas.openxmlformats.org/officeDocument/2006/relationships/hyperlink" Target="http://torg.book-online.ru/photo_book/11541100.jpg" TargetMode="External"/><Relationship Id="rId291" Type="http://schemas.openxmlformats.org/officeDocument/2006/relationships/hyperlink" Target="http://torg.book-online.ru/photo_book/9879830.jpg" TargetMode="External"/><Relationship Id="rId305" Type="http://schemas.openxmlformats.org/officeDocument/2006/relationships/hyperlink" Target="http://torg.book-online.ru/photo_book/9975510.jpg" TargetMode="External"/><Relationship Id="rId347" Type="http://schemas.openxmlformats.org/officeDocument/2006/relationships/hyperlink" Target="http://torg.book-online.ru/photo_book/11844280.jpg" TargetMode="External"/><Relationship Id="rId512" Type="http://schemas.openxmlformats.org/officeDocument/2006/relationships/hyperlink" Target="http://torg.book-online.ru/photo_book/11427530.jpg" TargetMode="External"/><Relationship Id="rId957" Type="http://schemas.openxmlformats.org/officeDocument/2006/relationships/hyperlink" Target="http://torg.book-online.ru/photo_book/9184240.jpg" TargetMode="External"/><Relationship Id="rId999" Type="http://schemas.openxmlformats.org/officeDocument/2006/relationships/hyperlink" Target="http://torg.book-online.ru/photo_book/11388100.jpg" TargetMode="External"/><Relationship Id="rId1100" Type="http://schemas.openxmlformats.org/officeDocument/2006/relationships/hyperlink" Target="http://torg.book-online.ru/photo_book/11688440.jpg" TargetMode="External"/><Relationship Id="rId1142" Type="http://schemas.openxmlformats.org/officeDocument/2006/relationships/hyperlink" Target="http://torg.book-online.ru/photo_book/11746770.jpg" TargetMode="External"/><Relationship Id="rId44" Type="http://schemas.openxmlformats.org/officeDocument/2006/relationships/hyperlink" Target="http://torg.book-online.ru/photo_book/12015860.jpg" TargetMode="External"/><Relationship Id="rId86" Type="http://schemas.openxmlformats.org/officeDocument/2006/relationships/hyperlink" Target="http://torg.book-online.ru/photo_book/11504400.jpg" TargetMode="External"/><Relationship Id="rId151" Type="http://schemas.openxmlformats.org/officeDocument/2006/relationships/hyperlink" Target="http://torg.book-online.ru/photo_book/8828170.jpg" TargetMode="External"/><Relationship Id="rId389" Type="http://schemas.openxmlformats.org/officeDocument/2006/relationships/hyperlink" Target="http://torg.book-online.ru/photo_book/9686600.jpg" TargetMode="External"/><Relationship Id="rId554" Type="http://schemas.openxmlformats.org/officeDocument/2006/relationships/hyperlink" Target="http://torg.book-online.ru/photo_book/10276410.jpg" TargetMode="External"/><Relationship Id="rId596" Type="http://schemas.openxmlformats.org/officeDocument/2006/relationships/hyperlink" Target="http://torg.book-online.ru/photo_book/10832800.jpg" TargetMode="External"/><Relationship Id="rId761" Type="http://schemas.openxmlformats.org/officeDocument/2006/relationships/hyperlink" Target="http://torg.book-online.ru/photo_book/6854710.jpg" TargetMode="External"/><Relationship Id="rId817" Type="http://schemas.openxmlformats.org/officeDocument/2006/relationships/hyperlink" Target="http://torg.book-online.ru/photo_book/9378320.jpg" TargetMode="External"/><Relationship Id="rId859" Type="http://schemas.openxmlformats.org/officeDocument/2006/relationships/hyperlink" Target="http://torg.book-online.ru/photo_book/10889270.jpg" TargetMode="External"/><Relationship Id="rId1002" Type="http://schemas.openxmlformats.org/officeDocument/2006/relationships/hyperlink" Target="http://torg.book-online.ru/photo_book/11744250.jpg" TargetMode="External"/><Relationship Id="rId193" Type="http://schemas.openxmlformats.org/officeDocument/2006/relationships/hyperlink" Target="http://torg.book-online.ru/photo_book/9709650.jpg" TargetMode="External"/><Relationship Id="rId207" Type="http://schemas.openxmlformats.org/officeDocument/2006/relationships/hyperlink" Target="http://torg.book-online.ru/photo_book/10229420.jpg" TargetMode="External"/><Relationship Id="rId249" Type="http://schemas.openxmlformats.org/officeDocument/2006/relationships/hyperlink" Target="http://torg.book-online.ru/photo_book/10943800.jpg" TargetMode="External"/><Relationship Id="rId414" Type="http://schemas.openxmlformats.org/officeDocument/2006/relationships/hyperlink" Target="http://torg.book-online.ru/photo_book/10809730.jpg" TargetMode="External"/><Relationship Id="rId456" Type="http://schemas.openxmlformats.org/officeDocument/2006/relationships/hyperlink" Target="http://torg.book-online.ru/photo_book/9979950.jpg" TargetMode="External"/><Relationship Id="rId498" Type="http://schemas.openxmlformats.org/officeDocument/2006/relationships/hyperlink" Target="http://torg.book-online.ru/photo_book/10770000.jpg" TargetMode="External"/><Relationship Id="rId621" Type="http://schemas.openxmlformats.org/officeDocument/2006/relationships/hyperlink" Target="http://torg.book-online.ru/photo_book/9837290.jpg" TargetMode="External"/><Relationship Id="rId663" Type="http://schemas.openxmlformats.org/officeDocument/2006/relationships/hyperlink" Target="http://torg.book-online.ru/photo_book/9859750.jpg" TargetMode="External"/><Relationship Id="rId870" Type="http://schemas.openxmlformats.org/officeDocument/2006/relationships/hyperlink" Target="http://torg.book-online.ru/photo_book/11027360.jpg" TargetMode="External"/><Relationship Id="rId1044" Type="http://schemas.openxmlformats.org/officeDocument/2006/relationships/hyperlink" Target="http://torg.book-online.ru/photo_book/8729470.jpg" TargetMode="External"/><Relationship Id="rId1086" Type="http://schemas.openxmlformats.org/officeDocument/2006/relationships/hyperlink" Target="http://torg.book-online.ru/photo_book/11763970.jpg" TargetMode="External"/><Relationship Id="rId13" Type="http://schemas.openxmlformats.org/officeDocument/2006/relationships/hyperlink" Target="http://torg.book-online.ru/photo_book/11675640.jpg" TargetMode="External"/><Relationship Id="rId109" Type="http://schemas.openxmlformats.org/officeDocument/2006/relationships/hyperlink" Target="http://torg.book-online.ru/photo_book/11030760.jpg" TargetMode="External"/><Relationship Id="rId260" Type="http://schemas.openxmlformats.org/officeDocument/2006/relationships/hyperlink" Target="http://torg.book-online.ru/photo_book/9284320.jpg" TargetMode="External"/><Relationship Id="rId316" Type="http://schemas.openxmlformats.org/officeDocument/2006/relationships/hyperlink" Target="http://torg.book-online.ru/photo_book/6805670.jpg" TargetMode="External"/><Relationship Id="rId523" Type="http://schemas.openxmlformats.org/officeDocument/2006/relationships/hyperlink" Target="http://torg.book-online.ru/photo_book/11327050.jpg" TargetMode="External"/><Relationship Id="rId719" Type="http://schemas.openxmlformats.org/officeDocument/2006/relationships/hyperlink" Target="http://torg.book-online.ru/photo_book/8601040.jpg" TargetMode="External"/><Relationship Id="rId926" Type="http://schemas.openxmlformats.org/officeDocument/2006/relationships/hyperlink" Target="http://torg.book-online.ru/photo_book/7680150.jpg" TargetMode="External"/><Relationship Id="rId968" Type="http://schemas.openxmlformats.org/officeDocument/2006/relationships/hyperlink" Target="http://torg.book-online.ru/photo_book/9521750.jpg" TargetMode="External"/><Relationship Id="rId1111" Type="http://schemas.openxmlformats.org/officeDocument/2006/relationships/hyperlink" Target="http://torg.book-online.ru/photo_book/11645090.jpg" TargetMode="External"/><Relationship Id="rId1153" Type="http://schemas.openxmlformats.org/officeDocument/2006/relationships/hyperlink" Target="http://torg.book-online.ru/photo_book/11591730.jpg" TargetMode="External"/><Relationship Id="rId55" Type="http://schemas.openxmlformats.org/officeDocument/2006/relationships/hyperlink" Target="http://torg.book-online.ru/photo_book/11627020.jpg" TargetMode="External"/><Relationship Id="rId97" Type="http://schemas.openxmlformats.org/officeDocument/2006/relationships/hyperlink" Target="http://torg.book-online.ru/photo_book/11860060.jpg" TargetMode="External"/><Relationship Id="rId120" Type="http://schemas.openxmlformats.org/officeDocument/2006/relationships/hyperlink" Target="http://torg.book-online.ru/photo_book/10484680.jpg" TargetMode="External"/><Relationship Id="rId358" Type="http://schemas.openxmlformats.org/officeDocument/2006/relationships/hyperlink" Target="http://torg.book-online.ru/photo_book/12027400.jpg" TargetMode="External"/><Relationship Id="rId565" Type="http://schemas.openxmlformats.org/officeDocument/2006/relationships/hyperlink" Target="http://torg.book-online.ru/photo_book/11514110.jpg" TargetMode="External"/><Relationship Id="rId730" Type="http://schemas.openxmlformats.org/officeDocument/2006/relationships/hyperlink" Target="http://torg.book-online.ru/photo_book/5821600.jpg" TargetMode="External"/><Relationship Id="rId772" Type="http://schemas.openxmlformats.org/officeDocument/2006/relationships/hyperlink" Target="http://torg.book-online.ru/photo_book/8360960.jpg" TargetMode="External"/><Relationship Id="rId828" Type="http://schemas.openxmlformats.org/officeDocument/2006/relationships/hyperlink" Target="http://torg.book-online.ru/photo_book/11022620.jpg" TargetMode="External"/><Relationship Id="rId1013" Type="http://schemas.openxmlformats.org/officeDocument/2006/relationships/hyperlink" Target="http://torg.book-online.ru/photo_book/9929610.jpg" TargetMode="External"/><Relationship Id="rId162" Type="http://schemas.openxmlformats.org/officeDocument/2006/relationships/hyperlink" Target="http://torg.book-online.ru/photo_book/9855130.jpg" TargetMode="External"/><Relationship Id="rId218" Type="http://schemas.openxmlformats.org/officeDocument/2006/relationships/hyperlink" Target="http://torg.book-online.ru/photo_book/8556360.jpg" TargetMode="External"/><Relationship Id="rId425" Type="http://schemas.openxmlformats.org/officeDocument/2006/relationships/hyperlink" Target="http://torg.book-online.ru/photo_book/8229240.jpg" TargetMode="External"/><Relationship Id="rId467" Type="http://schemas.openxmlformats.org/officeDocument/2006/relationships/hyperlink" Target="http://torg.book-online.ru/photo_book/10933700.jpg" TargetMode="External"/><Relationship Id="rId632" Type="http://schemas.openxmlformats.org/officeDocument/2006/relationships/hyperlink" Target="http://torg.book-online.ru/photo_book/8921070.jpg" TargetMode="External"/><Relationship Id="rId1055" Type="http://schemas.openxmlformats.org/officeDocument/2006/relationships/hyperlink" Target="http://torg.book-online.ru/photo_book/11856800.jpg" TargetMode="External"/><Relationship Id="rId1097" Type="http://schemas.openxmlformats.org/officeDocument/2006/relationships/hyperlink" Target="http://torg.book-online.ru/photo_book/11540950.jpg" TargetMode="External"/><Relationship Id="rId271" Type="http://schemas.openxmlformats.org/officeDocument/2006/relationships/hyperlink" Target="http://torg.book-online.ru/photo_book/10236540.jpg" TargetMode="External"/><Relationship Id="rId674" Type="http://schemas.openxmlformats.org/officeDocument/2006/relationships/hyperlink" Target="http://torg.book-online.ru/photo_book/10041640.jpg" TargetMode="External"/><Relationship Id="rId881" Type="http://schemas.openxmlformats.org/officeDocument/2006/relationships/hyperlink" Target="http://torg.book-online.ru/photo_book/10225340.jpg" TargetMode="External"/><Relationship Id="rId937" Type="http://schemas.openxmlformats.org/officeDocument/2006/relationships/hyperlink" Target="http://torg.book-online.ru/photo_book/8396740.jpg" TargetMode="External"/><Relationship Id="rId979" Type="http://schemas.openxmlformats.org/officeDocument/2006/relationships/hyperlink" Target="http://torg.book-online.ru/photo_book/11339120.jpg" TargetMode="External"/><Relationship Id="rId1122" Type="http://schemas.openxmlformats.org/officeDocument/2006/relationships/hyperlink" Target="http://torg.book-online.ru/photo_book/11540740.jpg" TargetMode="External"/><Relationship Id="rId24" Type="http://schemas.openxmlformats.org/officeDocument/2006/relationships/hyperlink" Target="http://torg.book-online.ru/photo_book/11520930.jpg" TargetMode="External"/><Relationship Id="rId66" Type="http://schemas.openxmlformats.org/officeDocument/2006/relationships/hyperlink" Target="http://torg.book-online.ru/photo_book/11866040.jpg" TargetMode="External"/><Relationship Id="rId131" Type="http://schemas.openxmlformats.org/officeDocument/2006/relationships/hyperlink" Target="http://torg.book-online.ru/photo_book/10409200.jpg" TargetMode="External"/><Relationship Id="rId327" Type="http://schemas.openxmlformats.org/officeDocument/2006/relationships/hyperlink" Target="http://torg.book-online.ru/photo_book/11067710.jpg" TargetMode="External"/><Relationship Id="rId369" Type="http://schemas.openxmlformats.org/officeDocument/2006/relationships/hyperlink" Target="http://torg.book-online.ru/photo_book/10583360.jpg" TargetMode="External"/><Relationship Id="rId534" Type="http://schemas.openxmlformats.org/officeDocument/2006/relationships/hyperlink" Target="http://torg.book-online.ru/photo_book/9514810.jpg" TargetMode="External"/><Relationship Id="rId576" Type="http://schemas.openxmlformats.org/officeDocument/2006/relationships/hyperlink" Target="http://torg.book-online.ru/photo_book/10411720.jpg" TargetMode="External"/><Relationship Id="rId741" Type="http://schemas.openxmlformats.org/officeDocument/2006/relationships/hyperlink" Target="http://torg.book-online.ru/photo_book/11775710.jpg" TargetMode="External"/><Relationship Id="rId783" Type="http://schemas.openxmlformats.org/officeDocument/2006/relationships/hyperlink" Target="http://torg.book-online.ru/photo_book/9565540.jpg" TargetMode="External"/><Relationship Id="rId839" Type="http://schemas.openxmlformats.org/officeDocument/2006/relationships/hyperlink" Target="http://torg.book-online.ru/photo_book/11679640.jpg" TargetMode="External"/><Relationship Id="rId990" Type="http://schemas.openxmlformats.org/officeDocument/2006/relationships/hyperlink" Target="http://torg.book-online.ru/photo_book/11674840.jpg" TargetMode="External"/><Relationship Id="rId1164" Type="http://schemas.openxmlformats.org/officeDocument/2006/relationships/hyperlink" Target="http://torg.book-online.ru/photo_book/11865800.jpg" TargetMode="External"/><Relationship Id="rId173" Type="http://schemas.openxmlformats.org/officeDocument/2006/relationships/hyperlink" Target="http://torg.book-online.ru/photo_book/9714570.jpg" TargetMode="External"/><Relationship Id="rId229" Type="http://schemas.openxmlformats.org/officeDocument/2006/relationships/hyperlink" Target="http://torg.book-online.ru/photo_book/11255070.jpg" TargetMode="External"/><Relationship Id="rId380" Type="http://schemas.openxmlformats.org/officeDocument/2006/relationships/hyperlink" Target="http://torg.book-online.ru/photo_book/8404510.jpg" TargetMode="External"/><Relationship Id="rId436" Type="http://schemas.openxmlformats.org/officeDocument/2006/relationships/hyperlink" Target="http://torg.book-online.ru/photo_book/9591720.jpg" TargetMode="External"/><Relationship Id="rId601" Type="http://schemas.openxmlformats.org/officeDocument/2006/relationships/hyperlink" Target="http://torg.book-online.ru/photo_book/10440350.jpg" TargetMode="External"/><Relationship Id="rId643" Type="http://schemas.openxmlformats.org/officeDocument/2006/relationships/hyperlink" Target="http://torg.book-online.ru/photo_book/5793130.jpg" TargetMode="External"/><Relationship Id="rId1024" Type="http://schemas.openxmlformats.org/officeDocument/2006/relationships/hyperlink" Target="http://torg.book-online.ru/photo_book/11012590.jpg" TargetMode="External"/><Relationship Id="rId1066" Type="http://schemas.openxmlformats.org/officeDocument/2006/relationships/hyperlink" Target="http://torg.book-online.ru/photo_book/11541250.jpg" TargetMode="External"/><Relationship Id="rId240" Type="http://schemas.openxmlformats.org/officeDocument/2006/relationships/hyperlink" Target="http://torg.book-online.ru/photo_book/10401050.jpg" TargetMode="External"/><Relationship Id="rId478" Type="http://schemas.openxmlformats.org/officeDocument/2006/relationships/hyperlink" Target="http://torg.book-online.ru/photo_book/8569550.jpg" TargetMode="External"/><Relationship Id="rId685" Type="http://schemas.openxmlformats.org/officeDocument/2006/relationships/hyperlink" Target="http://torg.book-online.ru/photo_book/10371210.jpg" TargetMode="External"/><Relationship Id="rId850" Type="http://schemas.openxmlformats.org/officeDocument/2006/relationships/hyperlink" Target="http://torg.book-online.ru/photo_book/10765760.jpg" TargetMode="External"/><Relationship Id="rId892" Type="http://schemas.openxmlformats.org/officeDocument/2006/relationships/hyperlink" Target="http://torg.book-online.ru/photo_book/11480110.jpg" TargetMode="External"/><Relationship Id="rId906" Type="http://schemas.openxmlformats.org/officeDocument/2006/relationships/hyperlink" Target="http://torg.book-online.ru/photo_book/9577830.jpg" TargetMode="External"/><Relationship Id="rId948" Type="http://schemas.openxmlformats.org/officeDocument/2006/relationships/hyperlink" Target="http://torg.book-online.ru/photo_book/10406750.jpg" TargetMode="External"/><Relationship Id="rId1133" Type="http://schemas.openxmlformats.org/officeDocument/2006/relationships/hyperlink" Target="http://torg.book-online.ru/photo_book/11837310.jpg" TargetMode="External"/><Relationship Id="rId35" Type="http://schemas.openxmlformats.org/officeDocument/2006/relationships/hyperlink" Target="http://torg.book-online.ru/photo_book/11428720.jpg" TargetMode="External"/><Relationship Id="rId77" Type="http://schemas.openxmlformats.org/officeDocument/2006/relationships/hyperlink" Target="http://torg.book-online.ru/photo_book/11664140.jpg" TargetMode="External"/><Relationship Id="rId100" Type="http://schemas.openxmlformats.org/officeDocument/2006/relationships/hyperlink" Target="http://torg.book-online.ru/photo_book/11499420.jpg" TargetMode="External"/><Relationship Id="rId282" Type="http://schemas.openxmlformats.org/officeDocument/2006/relationships/hyperlink" Target="http://torg.book-online.ru/photo_book/10409480.jpg" TargetMode="External"/><Relationship Id="rId338" Type="http://schemas.openxmlformats.org/officeDocument/2006/relationships/hyperlink" Target="http://torg.book-online.ru/photo_book/11821600.jpg" TargetMode="External"/><Relationship Id="rId503" Type="http://schemas.openxmlformats.org/officeDocument/2006/relationships/hyperlink" Target="http://torg.book-online.ru/photo_book/9247450.jpg" TargetMode="External"/><Relationship Id="rId545" Type="http://schemas.openxmlformats.org/officeDocument/2006/relationships/hyperlink" Target="http://torg.book-online.ru/photo_book/11506300.jpg" TargetMode="External"/><Relationship Id="rId587" Type="http://schemas.openxmlformats.org/officeDocument/2006/relationships/hyperlink" Target="http://torg.book-online.ru/photo_book/9796610.jpg" TargetMode="External"/><Relationship Id="rId710" Type="http://schemas.openxmlformats.org/officeDocument/2006/relationships/hyperlink" Target="http://torg.book-online.ru/photo_book/8859000.jpg" TargetMode="External"/><Relationship Id="rId752" Type="http://schemas.openxmlformats.org/officeDocument/2006/relationships/hyperlink" Target="http://torg.book-online.ru/photo_book/11603310.jpg" TargetMode="External"/><Relationship Id="rId808" Type="http://schemas.openxmlformats.org/officeDocument/2006/relationships/hyperlink" Target="http://torg.book-online.ru/photo_book/9670350.jpg" TargetMode="External"/><Relationship Id="rId8" Type="http://schemas.openxmlformats.org/officeDocument/2006/relationships/hyperlink" Target="http://torg.book-online.ru/photo_book/11757290.jpg" TargetMode="External"/><Relationship Id="rId142" Type="http://schemas.openxmlformats.org/officeDocument/2006/relationships/hyperlink" Target="http://torg.book-online.ru/photo_book/11287230.jpg" TargetMode="External"/><Relationship Id="rId184" Type="http://schemas.openxmlformats.org/officeDocument/2006/relationships/hyperlink" Target="http://torg.book-online.ru/photo_book/10646110.jpg" TargetMode="External"/><Relationship Id="rId391" Type="http://schemas.openxmlformats.org/officeDocument/2006/relationships/hyperlink" Target="http://torg.book-online.ru/photo_book/8394550.jpg" TargetMode="External"/><Relationship Id="rId405" Type="http://schemas.openxmlformats.org/officeDocument/2006/relationships/hyperlink" Target="http://torg.book-online.ru/photo_book/10292810.jpg" TargetMode="External"/><Relationship Id="rId447" Type="http://schemas.openxmlformats.org/officeDocument/2006/relationships/hyperlink" Target="http://torg.book-online.ru/photo_book/9678880.jpg" TargetMode="External"/><Relationship Id="rId612" Type="http://schemas.openxmlformats.org/officeDocument/2006/relationships/hyperlink" Target="http://torg.book-online.ru/photo_book/11276450.jpg" TargetMode="External"/><Relationship Id="rId794" Type="http://schemas.openxmlformats.org/officeDocument/2006/relationships/hyperlink" Target="http://torg.book-online.ru/photo_book/11212630.jpg" TargetMode="External"/><Relationship Id="rId1035" Type="http://schemas.openxmlformats.org/officeDocument/2006/relationships/hyperlink" Target="http://torg.book-online.ru/photo_book/8426660.jpg" TargetMode="External"/><Relationship Id="rId1077" Type="http://schemas.openxmlformats.org/officeDocument/2006/relationships/hyperlink" Target="http://torg.book-online.ru/photo_book/11780750.jpg" TargetMode="External"/><Relationship Id="rId251" Type="http://schemas.openxmlformats.org/officeDocument/2006/relationships/hyperlink" Target="http://torg.book-online.ru/photo_book/10455010.jpg" TargetMode="External"/><Relationship Id="rId489" Type="http://schemas.openxmlformats.org/officeDocument/2006/relationships/hyperlink" Target="http://torg.book-online.ru/photo_book/8738950.jpg" TargetMode="External"/><Relationship Id="rId654" Type="http://schemas.openxmlformats.org/officeDocument/2006/relationships/hyperlink" Target="http://torg.book-online.ru/photo_book/10631160.jpg" TargetMode="External"/><Relationship Id="rId696" Type="http://schemas.openxmlformats.org/officeDocument/2006/relationships/hyperlink" Target="http://torg.book-online.ru/photo_book/11771230.jpg" TargetMode="External"/><Relationship Id="rId861" Type="http://schemas.openxmlformats.org/officeDocument/2006/relationships/hyperlink" Target="http://torg.book-online.ru/photo_book/11375230.jpg" TargetMode="External"/><Relationship Id="rId917" Type="http://schemas.openxmlformats.org/officeDocument/2006/relationships/hyperlink" Target="http://torg.book-online.ru/photo_book/11002840.jpg" TargetMode="External"/><Relationship Id="rId959" Type="http://schemas.openxmlformats.org/officeDocument/2006/relationships/hyperlink" Target="http://torg.book-online.ru/photo_book/9349010.jpg" TargetMode="External"/><Relationship Id="rId1102" Type="http://schemas.openxmlformats.org/officeDocument/2006/relationships/hyperlink" Target="http://torg.book-online.ru/photo_book/11540870.jpg" TargetMode="External"/><Relationship Id="rId46" Type="http://schemas.openxmlformats.org/officeDocument/2006/relationships/hyperlink" Target="http://torg.book-online.ru/photo_book/11136510.jpg" TargetMode="External"/><Relationship Id="rId293" Type="http://schemas.openxmlformats.org/officeDocument/2006/relationships/hyperlink" Target="http://torg.book-online.ru/photo_book/10569040.jpg" TargetMode="External"/><Relationship Id="rId307" Type="http://schemas.openxmlformats.org/officeDocument/2006/relationships/hyperlink" Target="http://torg.book-online.ru/photo_book/9257560.jpg" TargetMode="External"/><Relationship Id="rId349" Type="http://schemas.openxmlformats.org/officeDocument/2006/relationships/hyperlink" Target="http://torg.book-online.ru/photo_book/11578940.jpg" TargetMode="External"/><Relationship Id="rId514" Type="http://schemas.openxmlformats.org/officeDocument/2006/relationships/hyperlink" Target="http://torg.book-online.ru/photo_book/9757510.jpg" TargetMode="External"/><Relationship Id="rId556" Type="http://schemas.openxmlformats.org/officeDocument/2006/relationships/hyperlink" Target="http://torg.book-online.ru/photo_book/10013020.jpg" TargetMode="External"/><Relationship Id="rId721" Type="http://schemas.openxmlformats.org/officeDocument/2006/relationships/hyperlink" Target="http://torg.book-online.ru/photo_book/9182030.jpg" TargetMode="External"/><Relationship Id="rId763" Type="http://schemas.openxmlformats.org/officeDocument/2006/relationships/hyperlink" Target="http://torg.book-online.ru/photo_book/11825970.jpg" TargetMode="External"/><Relationship Id="rId1144" Type="http://schemas.openxmlformats.org/officeDocument/2006/relationships/hyperlink" Target="http://torg.book-online.ru/photo_book/11927010.jpg" TargetMode="External"/><Relationship Id="rId88" Type="http://schemas.openxmlformats.org/officeDocument/2006/relationships/hyperlink" Target="http://torg.book-online.ru/photo_book/11708590.jpg" TargetMode="External"/><Relationship Id="rId111" Type="http://schemas.openxmlformats.org/officeDocument/2006/relationships/hyperlink" Target="http://torg.book-online.ru/photo_book/11030850.jpg" TargetMode="External"/><Relationship Id="rId153" Type="http://schemas.openxmlformats.org/officeDocument/2006/relationships/hyperlink" Target="http://torg.book-online.ru/photo_book/10040680.jpg" TargetMode="External"/><Relationship Id="rId195" Type="http://schemas.openxmlformats.org/officeDocument/2006/relationships/hyperlink" Target="http://torg.book-online.ru/photo_book/10160480.jpg" TargetMode="External"/><Relationship Id="rId209" Type="http://schemas.openxmlformats.org/officeDocument/2006/relationships/hyperlink" Target="http://torg.book-online.ru/photo_book/10233690.jpg" TargetMode="External"/><Relationship Id="rId360" Type="http://schemas.openxmlformats.org/officeDocument/2006/relationships/hyperlink" Target="http://torg.book-online.ru/photo_book/9239220.jpg" TargetMode="External"/><Relationship Id="rId416" Type="http://schemas.openxmlformats.org/officeDocument/2006/relationships/hyperlink" Target="http://torg.book-online.ru/photo_book/10649370.jpg" TargetMode="External"/><Relationship Id="rId598" Type="http://schemas.openxmlformats.org/officeDocument/2006/relationships/hyperlink" Target="http://torg.book-online.ru/photo_book/10442000.jpg" TargetMode="External"/><Relationship Id="rId819" Type="http://schemas.openxmlformats.org/officeDocument/2006/relationships/hyperlink" Target="http://torg.book-online.ru/photo_book/10369140.jpg" TargetMode="External"/><Relationship Id="rId970" Type="http://schemas.openxmlformats.org/officeDocument/2006/relationships/hyperlink" Target="http://torg.book-online.ru/photo_book/9731110.jpg" TargetMode="External"/><Relationship Id="rId1004" Type="http://schemas.openxmlformats.org/officeDocument/2006/relationships/hyperlink" Target="http://torg.book-online.ru/photo_book/11746760.jpg" TargetMode="External"/><Relationship Id="rId1046" Type="http://schemas.openxmlformats.org/officeDocument/2006/relationships/hyperlink" Target="http://torg.book-online.ru/photo_book/11541290.jpg" TargetMode="External"/><Relationship Id="rId220" Type="http://schemas.openxmlformats.org/officeDocument/2006/relationships/hyperlink" Target="http://torg.book-online.ru/photo_book/10453410.jpg" TargetMode="External"/><Relationship Id="rId458" Type="http://schemas.openxmlformats.org/officeDocument/2006/relationships/hyperlink" Target="http://torg.book-online.ru/photo_book/11627620.jpg" TargetMode="External"/><Relationship Id="rId623" Type="http://schemas.openxmlformats.org/officeDocument/2006/relationships/hyperlink" Target="http://torg.book-online.ru/photo_book/8828150.jpg" TargetMode="External"/><Relationship Id="rId665" Type="http://schemas.openxmlformats.org/officeDocument/2006/relationships/hyperlink" Target="http://torg.book-online.ru/photo_book/10739840.jpg" TargetMode="External"/><Relationship Id="rId830" Type="http://schemas.openxmlformats.org/officeDocument/2006/relationships/hyperlink" Target="http://torg.book-online.ru/photo_book/11004000.jpg" TargetMode="External"/><Relationship Id="rId872" Type="http://schemas.openxmlformats.org/officeDocument/2006/relationships/hyperlink" Target="http://torg.book-online.ru/photo_book/11422470.jpg" TargetMode="External"/><Relationship Id="rId928" Type="http://schemas.openxmlformats.org/officeDocument/2006/relationships/hyperlink" Target="http://torg.book-online.ru/photo_book/10947170.jpg" TargetMode="External"/><Relationship Id="rId1088" Type="http://schemas.openxmlformats.org/officeDocument/2006/relationships/hyperlink" Target="http://torg.book-online.ru/photo_book/11934620.jpg" TargetMode="External"/><Relationship Id="rId15" Type="http://schemas.openxmlformats.org/officeDocument/2006/relationships/hyperlink" Target="http://torg.book-online.ru/photo_book/10290150.jpg" TargetMode="External"/><Relationship Id="rId57" Type="http://schemas.openxmlformats.org/officeDocument/2006/relationships/hyperlink" Target="http://torg.book-online.ru/photo_book/11486970.jpg" TargetMode="External"/><Relationship Id="rId262" Type="http://schemas.openxmlformats.org/officeDocument/2006/relationships/hyperlink" Target="http://torg.book-online.ru/photo_book/10943890.jpg" TargetMode="External"/><Relationship Id="rId318" Type="http://schemas.openxmlformats.org/officeDocument/2006/relationships/hyperlink" Target="http://torg.book-online.ru/photo_book/10482290.jpg" TargetMode="External"/><Relationship Id="rId525" Type="http://schemas.openxmlformats.org/officeDocument/2006/relationships/hyperlink" Target="http://torg.book-online.ru/photo_book/9801240.jpg" TargetMode="External"/><Relationship Id="rId567" Type="http://schemas.openxmlformats.org/officeDocument/2006/relationships/hyperlink" Target="http://torg.book-online.ru/photo_book/11175770.jpg" TargetMode="External"/><Relationship Id="rId732" Type="http://schemas.openxmlformats.org/officeDocument/2006/relationships/hyperlink" Target="http://torg.book-online.ru/photo_book/10664900.jpg" TargetMode="External"/><Relationship Id="rId1113" Type="http://schemas.openxmlformats.org/officeDocument/2006/relationships/hyperlink" Target="http://torg.book-online.ru/photo_book/12065040.jpg" TargetMode="External"/><Relationship Id="rId1155" Type="http://schemas.openxmlformats.org/officeDocument/2006/relationships/hyperlink" Target="http://torg.book-online.ru/photo_book/12026570.jpg" TargetMode="External"/><Relationship Id="rId99" Type="http://schemas.openxmlformats.org/officeDocument/2006/relationships/hyperlink" Target="http://torg.book-online.ru/photo_book/11874680.jpg" TargetMode="External"/><Relationship Id="rId122" Type="http://schemas.openxmlformats.org/officeDocument/2006/relationships/hyperlink" Target="http://torg.book-online.ru/photo_book/10666950.jpg" TargetMode="External"/><Relationship Id="rId164" Type="http://schemas.openxmlformats.org/officeDocument/2006/relationships/hyperlink" Target="http://torg.book-online.ru/photo_book/10479590.jpg" TargetMode="External"/><Relationship Id="rId371" Type="http://schemas.openxmlformats.org/officeDocument/2006/relationships/hyperlink" Target="http://torg.book-online.ru/photo_book/9699770.jpg" TargetMode="External"/><Relationship Id="rId774" Type="http://schemas.openxmlformats.org/officeDocument/2006/relationships/hyperlink" Target="http://torg.book-online.ru/photo_book/8606860.jpg" TargetMode="External"/><Relationship Id="rId981" Type="http://schemas.openxmlformats.org/officeDocument/2006/relationships/hyperlink" Target="http://torg.book-online.ru/photo_book/11213370.jpg" TargetMode="External"/><Relationship Id="rId1015" Type="http://schemas.openxmlformats.org/officeDocument/2006/relationships/hyperlink" Target="http://torg.book-online.ru/photo_book/10232280.jpg" TargetMode="External"/><Relationship Id="rId1057" Type="http://schemas.openxmlformats.org/officeDocument/2006/relationships/hyperlink" Target="http://torg.book-online.ru/photo_book/11694040.jpg" TargetMode="External"/><Relationship Id="rId427" Type="http://schemas.openxmlformats.org/officeDocument/2006/relationships/hyperlink" Target="http://torg.book-online.ru/photo_book/10225460.jpg" TargetMode="External"/><Relationship Id="rId469" Type="http://schemas.openxmlformats.org/officeDocument/2006/relationships/hyperlink" Target="http://torg.book-online.ru/photo_book/11092800.jpg" TargetMode="External"/><Relationship Id="rId634" Type="http://schemas.openxmlformats.org/officeDocument/2006/relationships/hyperlink" Target="http://torg.book-online.ru/photo_book/11711990.jpg" TargetMode="External"/><Relationship Id="rId676" Type="http://schemas.openxmlformats.org/officeDocument/2006/relationships/hyperlink" Target="http://torg.book-online.ru/photo_book/10809050.jpg" TargetMode="External"/><Relationship Id="rId841" Type="http://schemas.openxmlformats.org/officeDocument/2006/relationships/hyperlink" Target="http://torg.book-online.ru/photo_book/11498740.jpg" TargetMode="External"/><Relationship Id="rId883" Type="http://schemas.openxmlformats.org/officeDocument/2006/relationships/hyperlink" Target="http://torg.book-online.ru/photo_book/9794550.jpg" TargetMode="External"/><Relationship Id="rId1099" Type="http://schemas.openxmlformats.org/officeDocument/2006/relationships/hyperlink" Target="http://torg.book-online.ru/photo_book/11540940.jpg" TargetMode="External"/><Relationship Id="rId26" Type="http://schemas.openxmlformats.org/officeDocument/2006/relationships/hyperlink" Target="http://torg.book-online.ru/photo_book/12041890.jpg" TargetMode="External"/><Relationship Id="rId231" Type="http://schemas.openxmlformats.org/officeDocument/2006/relationships/hyperlink" Target="http://torg.book-online.ru/photo_book/9709500.jpg" TargetMode="External"/><Relationship Id="rId273" Type="http://schemas.openxmlformats.org/officeDocument/2006/relationships/hyperlink" Target="http://torg.book-online.ru/photo_book/6023810.jpg" TargetMode="External"/><Relationship Id="rId329" Type="http://schemas.openxmlformats.org/officeDocument/2006/relationships/hyperlink" Target="http://torg.book-online.ru/photo_book/11909630.jpg" TargetMode="External"/><Relationship Id="rId480" Type="http://schemas.openxmlformats.org/officeDocument/2006/relationships/hyperlink" Target="http://torg.book-online.ru/photo_book/6808230.jpg" TargetMode="External"/><Relationship Id="rId536" Type="http://schemas.openxmlformats.org/officeDocument/2006/relationships/hyperlink" Target="http://torg.book-online.ru/photo_book/9801180.jpg" TargetMode="External"/><Relationship Id="rId701" Type="http://schemas.openxmlformats.org/officeDocument/2006/relationships/hyperlink" Target="http://torg.book-online.ru/photo_book/10488820.jpg" TargetMode="External"/><Relationship Id="rId939" Type="http://schemas.openxmlformats.org/officeDocument/2006/relationships/hyperlink" Target="http://torg.book-online.ru/photo_book/10292700.jpg" TargetMode="External"/><Relationship Id="rId1124" Type="http://schemas.openxmlformats.org/officeDocument/2006/relationships/hyperlink" Target="http://torg.book-online.ru/photo_book/11565490.jpg" TargetMode="External"/><Relationship Id="rId1166" Type="http://schemas.openxmlformats.org/officeDocument/2006/relationships/hyperlink" Target="http://torg.book-online.ru/photo_book/11541350.jpg" TargetMode="External"/><Relationship Id="rId68" Type="http://schemas.openxmlformats.org/officeDocument/2006/relationships/hyperlink" Target="http://torg.book-online.ru/photo_book/11903060.jpg" TargetMode="External"/><Relationship Id="rId133" Type="http://schemas.openxmlformats.org/officeDocument/2006/relationships/hyperlink" Target="http://torg.book-online.ru/photo_book/10435900.jpg" TargetMode="External"/><Relationship Id="rId175" Type="http://schemas.openxmlformats.org/officeDocument/2006/relationships/hyperlink" Target="http://torg.book-online.ru/photo_book/10033420.jpg" TargetMode="External"/><Relationship Id="rId340" Type="http://schemas.openxmlformats.org/officeDocument/2006/relationships/hyperlink" Target="http://torg.book-online.ru/photo_book/11476240.jpg" TargetMode="External"/><Relationship Id="rId578" Type="http://schemas.openxmlformats.org/officeDocument/2006/relationships/hyperlink" Target="http://torg.book-online.ru/photo_book/11577850.jpg" TargetMode="External"/><Relationship Id="rId743" Type="http://schemas.openxmlformats.org/officeDocument/2006/relationships/hyperlink" Target="http://torg.book-online.ru/photo_book/11603290.jpg" TargetMode="External"/><Relationship Id="rId785" Type="http://schemas.openxmlformats.org/officeDocument/2006/relationships/hyperlink" Target="http://torg.book-online.ru/photo_book/9595910.jpg" TargetMode="External"/><Relationship Id="rId950" Type="http://schemas.openxmlformats.org/officeDocument/2006/relationships/hyperlink" Target="http://torg.book-online.ru/photo_book/8738410.jpg" TargetMode="External"/><Relationship Id="rId992" Type="http://schemas.openxmlformats.org/officeDocument/2006/relationships/hyperlink" Target="http://torg.book-online.ru/photo_book/11491590.jpg" TargetMode="External"/><Relationship Id="rId1026" Type="http://schemas.openxmlformats.org/officeDocument/2006/relationships/hyperlink" Target="http://torg.book-online.ru/photo_book/11012430.jpg" TargetMode="External"/><Relationship Id="rId200" Type="http://schemas.openxmlformats.org/officeDocument/2006/relationships/hyperlink" Target="http://torg.book-online.ru/photo_book/9793040.jpg" TargetMode="External"/><Relationship Id="rId382" Type="http://schemas.openxmlformats.org/officeDocument/2006/relationships/hyperlink" Target="http://torg.book-online.ru/photo_book/9686590.jpg" TargetMode="External"/><Relationship Id="rId438" Type="http://schemas.openxmlformats.org/officeDocument/2006/relationships/hyperlink" Target="http://torg.book-online.ru/photo_book/11199020.jpg" TargetMode="External"/><Relationship Id="rId603" Type="http://schemas.openxmlformats.org/officeDocument/2006/relationships/hyperlink" Target="http://torg.book-online.ru/photo_book/11498490.jpg" TargetMode="External"/><Relationship Id="rId645" Type="http://schemas.openxmlformats.org/officeDocument/2006/relationships/hyperlink" Target="http://torg.book-online.ru/photo_book/11799590.jpg" TargetMode="External"/><Relationship Id="rId687" Type="http://schemas.openxmlformats.org/officeDocument/2006/relationships/hyperlink" Target="http://torg.book-online.ru/photo_book/9349280.jpg" TargetMode="External"/><Relationship Id="rId810" Type="http://schemas.openxmlformats.org/officeDocument/2006/relationships/hyperlink" Target="http://torg.book-online.ru/photo_book/9793360.jpg" TargetMode="External"/><Relationship Id="rId852" Type="http://schemas.openxmlformats.org/officeDocument/2006/relationships/hyperlink" Target="http://torg.book-online.ru/photo_book/11163690.jpg" TargetMode="External"/><Relationship Id="rId908" Type="http://schemas.openxmlformats.org/officeDocument/2006/relationships/hyperlink" Target="http://torg.book-online.ru/photo_book/8891690.jpg" TargetMode="External"/><Relationship Id="rId1068" Type="http://schemas.openxmlformats.org/officeDocument/2006/relationships/hyperlink" Target="http://torg.book-online.ru/photo_book/11541340.jpg" TargetMode="External"/><Relationship Id="rId242" Type="http://schemas.openxmlformats.org/officeDocument/2006/relationships/hyperlink" Target="http://torg.book-online.ru/photo_book/9745060.jpg" TargetMode="External"/><Relationship Id="rId284" Type="http://schemas.openxmlformats.org/officeDocument/2006/relationships/hyperlink" Target="http://torg.book-online.ru/photo_book/10488800.jpg" TargetMode="External"/><Relationship Id="rId491" Type="http://schemas.openxmlformats.org/officeDocument/2006/relationships/hyperlink" Target="http://torg.book-online.ru/photo_book/12071120.jpg" TargetMode="External"/><Relationship Id="rId505" Type="http://schemas.openxmlformats.org/officeDocument/2006/relationships/hyperlink" Target="http://torg.book-online.ru/photo_book/9618300.jpg" TargetMode="External"/><Relationship Id="rId712" Type="http://schemas.openxmlformats.org/officeDocument/2006/relationships/hyperlink" Target="http://torg.book-online.ru/photo_book/11092900.jpg" TargetMode="External"/><Relationship Id="rId894" Type="http://schemas.openxmlformats.org/officeDocument/2006/relationships/hyperlink" Target="http://torg.book-online.ru/photo_book/11004010.jpg" TargetMode="External"/><Relationship Id="rId1135" Type="http://schemas.openxmlformats.org/officeDocument/2006/relationships/hyperlink" Target="http://torg.book-online.ru/photo_book/11541400.jpg" TargetMode="External"/><Relationship Id="rId37" Type="http://schemas.openxmlformats.org/officeDocument/2006/relationships/hyperlink" Target="http://torg.book-online.ru/photo_book/11375830.jpg" TargetMode="External"/><Relationship Id="rId79" Type="http://schemas.openxmlformats.org/officeDocument/2006/relationships/hyperlink" Target="http://torg.book-online.ru/photo_book/11536070.jpg" TargetMode="External"/><Relationship Id="rId102" Type="http://schemas.openxmlformats.org/officeDocument/2006/relationships/hyperlink" Target="http://torg.book-online.ru/photo_book/9588320.jpg" TargetMode="External"/><Relationship Id="rId144" Type="http://schemas.openxmlformats.org/officeDocument/2006/relationships/hyperlink" Target="http://torg.book-online.ru/photo_book/10409710.jpg" TargetMode="External"/><Relationship Id="rId547" Type="http://schemas.openxmlformats.org/officeDocument/2006/relationships/hyperlink" Target="http://torg.book-online.ru/photo_book/11506370.jpg" TargetMode="External"/><Relationship Id="rId589" Type="http://schemas.openxmlformats.org/officeDocument/2006/relationships/hyperlink" Target="http://torg.book-online.ru/photo_book/10440360.jpg" TargetMode="External"/><Relationship Id="rId754" Type="http://schemas.openxmlformats.org/officeDocument/2006/relationships/hyperlink" Target="http://torg.book-online.ru/photo_book/7586720.jpg" TargetMode="External"/><Relationship Id="rId796" Type="http://schemas.openxmlformats.org/officeDocument/2006/relationships/hyperlink" Target="http://torg.book-online.ru/photo_book/11069060.jpg" TargetMode="External"/><Relationship Id="rId961" Type="http://schemas.openxmlformats.org/officeDocument/2006/relationships/hyperlink" Target="http://torg.book-online.ru/photo_book/8397290.jpg" TargetMode="External"/><Relationship Id="rId90" Type="http://schemas.openxmlformats.org/officeDocument/2006/relationships/hyperlink" Target="http://torg.book-online.ru/photo_book/11664280.jpg" TargetMode="External"/><Relationship Id="rId186" Type="http://schemas.openxmlformats.org/officeDocument/2006/relationships/hyperlink" Target="http://torg.book-online.ru/photo_book/9610840.jpg" TargetMode="External"/><Relationship Id="rId351" Type="http://schemas.openxmlformats.org/officeDocument/2006/relationships/hyperlink" Target="http://torg.book-online.ru/photo_book/9774250.jpg" TargetMode="External"/><Relationship Id="rId393" Type="http://schemas.openxmlformats.org/officeDocument/2006/relationships/hyperlink" Target="http://torg.book-online.ru/photo_book/8651740.jpg" TargetMode="External"/><Relationship Id="rId407" Type="http://schemas.openxmlformats.org/officeDocument/2006/relationships/hyperlink" Target="http://torg.book-online.ru/photo_book/9825840.jpg" TargetMode="External"/><Relationship Id="rId449" Type="http://schemas.openxmlformats.org/officeDocument/2006/relationships/hyperlink" Target="http://torg.book-online.ru/photo_book/9676980.jpg" TargetMode="External"/><Relationship Id="rId614" Type="http://schemas.openxmlformats.org/officeDocument/2006/relationships/hyperlink" Target="http://torg.book-online.ru/photo_book/9471970.jpg" TargetMode="External"/><Relationship Id="rId656" Type="http://schemas.openxmlformats.org/officeDocument/2006/relationships/hyperlink" Target="http://torg.book-online.ru/photo_book/11018900.jpg" TargetMode="External"/><Relationship Id="rId821" Type="http://schemas.openxmlformats.org/officeDocument/2006/relationships/hyperlink" Target="http://torg.book-online.ru/photo_book/10455700.jpg" TargetMode="External"/><Relationship Id="rId863" Type="http://schemas.openxmlformats.org/officeDocument/2006/relationships/hyperlink" Target="http://torg.book-online.ru/photo_book/10560550.jpg" TargetMode="External"/><Relationship Id="rId1037" Type="http://schemas.openxmlformats.org/officeDocument/2006/relationships/hyperlink" Target="http://torg.book-online.ru/photo_book/8471260.jpg" TargetMode="External"/><Relationship Id="rId1079" Type="http://schemas.openxmlformats.org/officeDocument/2006/relationships/hyperlink" Target="http://torg.book-online.ru/photo_book/11541300.jpg" TargetMode="External"/><Relationship Id="rId211" Type="http://schemas.openxmlformats.org/officeDocument/2006/relationships/hyperlink" Target="http://torg.book-online.ru/photo_book/9735250.jpg" TargetMode="External"/><Relationship Id="rId253" Type="http://schemas.openxmlformats.org/officeDocument/2006/relationships/hyperlink" Target="http://torg.book-online.ru/photo_book/10410380.jpg" TargetMode="External"/><Relationship Id="rId295" Type="http://schemas.openxmlformats.org/officeDocument/2006/relationships/hyperlink" Target="http://torg.book-online.ru/photo_book/9527910.jpg" TargetMode="External"/><Relationship Id="rId309" Type="http://schemas.openxmlformats.org/officeDocument/2006/relationships/hyperlink" Target="http://torg.book-online.ru/photo_book/9311610.jpg" TargetMode="External"/><Relationship Id="rId460" Type="http://schemas.openxmlformats.org/officeDocument/2006/relationships/hyperlink" Target="http://torg.book-online.ru/photo_book/9803310.jpg" TargetMode="External"/><Relationship Id="rId516" Type="http://schemas.openxmlformats.org/officeDocument/2006/relationships/hyperlink" Target="http://torg.book-online.ru/photo_book/11067760.jpg" TargetMode="External"/><Relationship Id="rId698" Type="http://schemas.openxmlformats.org/officeDocument/2006/relationships/hyperlink" Target="http://torg.book-online.ru/photo_book/8419600.jpg" TargetMode="External"/><Relationship Id="rId919" Type="http://schemas.openxmlformats.org/officeDocument/2006/relationships/hyperlink" Target="http://torg.book-online.ru/photo_book/9975250.jpg" TargetMode="External"/><Relationship Id="rId1090" Type="http://schemas.openxmlformats.org/officeDocument/2006/relationships/hyperlink" Target="http://torg.book-online.ru/photo_book/11613560.jpg" TargetMode="External"/><Relationship Id="rId1104" Type="http://schemas.openxmlformats.org/officeDocument/2006/relationships/hyperlink" Target="http://torg.book-online.ru/photo_book/11859790.jpg" TargetMode="External"/><Relationship Id="rId1146" Type="http://schemas.openxmlformats.org/officeDocument/2006/relationships/hyperlink" Target="http://torg.book-online.ru/photo_book/11541260.jpg" TargetMode="External"/><Relationship Id="rId48" Type="http://schemas.openxmlformats.org/officeDocument/2006/relationships/hyperlink" Target="http://torg.book-online.ru/photo_book/11719420.jpg" TargetMode="External"/><Relationship Id="rId113" Type="http://schemas.openxmlformats.org/officeDocument/2006/relationships/hyperlink" Target="http://torg.book-online.ru/photo_book/11030800.jpg" TargetMode="External"/><Relationship Id="rId320" Type="http://schemas.openxmlformats.org/officeDocument/2006/relationships/hyperlink" Target="http://torg.book-online.ru/photo_book/10373370.jpg" TargetMode="External"/><Relationship Id="rId558" Type="http://schemas.openxmlformats.org/officeDocument/2006/relationships/hyperlink" Target="http://torg.book-online.ru/photo_book/9531640.jpg" TargetMode="External"/><Relationship Id="rId723" Type="http://schemas.openxmlformats.org/officeDocument/2006/relationships/hyperlink" Target="http://torg.book-online.ru/photo_book/10162170.jpg" TargetMode="External"/><Relationship Id="rId765" Type="http://schemas.openxmlformats.org/officeDocument/2006/relationships/hyperlink" Target="http://torg.book-online.ru/photo_book/9972930.jpg" TargetMode="External"/><Relationship Id="rId930" Type="http://schemas.openxmlformats.org/officeDocument/2006/relationships/hyperlink" Target="http://torg.book-online.ru/photo_book/10480080.jpg" TargetMode="External"/><Relationship Id="rId972" Type="http://schemas.openxmlformats.org/officeDocument/2006/relationships/hyperlink" Target="http://torg.book-online.ru/photo_book/8907490.jpg" TargetMode="External"/><Relationship Id="rId1006" Type="http://schemas.openxmlformats.org/officeDocument/2006/relationships/hyperlink" Target="http://torg.book-online.ru/photo_book/11645610.jpg" TargetMode="External"/><Relationship Id="rId155" Type="http://schemas.openxmlformats.org/officeDocument/2006/relationships/hyperlink" Target="http://torg.book-online.ru/photo_book/9768900.jpg" TargetMode="External"/><Relationship Id="rId197" Type="http://schemas.openxmlformats.org/officeDocument/2006/relationships/hyperlink" Target="http://torg.book-online.ru/photo_book/10266380.jpg" TargetMode="External"/><Relationship Id="rId362" Type="http://schemas.openxmlformats.org/officeDocument/2006/relationships/hyperlink" Target="http://torg.book-online.ru/photo_book/11144230.jpg" TargetMode="External"/><Relationship Id="rId418" Type="http://schemas.openxmlformats.org/officeDocument/2006/relationships/hyperlink" Target="http://torg.book-online.ru/photo_book/10567470.jpg" TargetMode="External"/><Relationship Id="rId625" Type="http://schemas.openxmlformats.org/officeDocument/2006/relationships/hyperlink" Target="http://torg.book-online.ru/photo_book/9252400.jpg" TargetMode="External"/><Relationship Id="rId832" Type="http://schemas.openxmlformats.org/officeDocument/2006/relationships/hyperlink" Target="http://torg.book-online.ru/photo_book/8375170.jpg" TargetMode="External"/><Relationship Id="rId1048" Type="http://schemas.openxmlformats.org/officeDocument/2006/relationships/hyperlink" Target="http://torg.book-online.ru/photo_book/12054380.jpg" TargetMode="External"/><Relationship Id="rId222" Type="http://schemas.openxmlformats.org/officeDocument/2006/relationships/hyperlink" Target="http://torg.book-online.ru/photo_book/10455520.jpg" TargetMode="External"/><Relationship Id="rId264" Type="http://schemas.openxmlformats.org/officeDocument/2006/relationships/hyperlink" Target="http://torg.book-online.ru/photo_book/11618920.jpg" TargetMode="External"/><Relationship Id="rId471" Type="http://schemas.openxmlformats.org/officeDocument/2006/relationships/hyperlink" Target="http://torg.book-online.ru/photo_book/10236480.jpg" TargetMode="External"/><Relationship Id="rId667" Type="http://schemas.openxmlformats.org/officeDocument/2006/relationships/hyperlink" Target="http://torg.book-online.ru/photo_book/10746610.jpg" TargetMode="External"/><Relationship Id="rId874" Type="http://schemas.openxmlformats.org/officeDocument/2006/relationships/hyperlink" Target="http://torg.book-online.ru/photo_book/11485560.jpg" TargetMode="External"/><Relationship Id="rId1115" Type="http://schemas.openxmlformats.org/officeDocument/2006/relationships/hyperlink" Target="http://torg.book-online.ru/photo_book/11583120.jpg" TargetMode="External"/><Relationship Id="rId17" Type="http://schemas.openxmlformats.org/officeDocument/2006/relationships/hyperlink" Target="http://torg.book-online.ru/photo_book/11708390.jpg" TargetMode="External"/><Relationship Id="rId59" Type="http://schemas.openxmlformats.org/officeDocument/2006/relationships/hyperlink" Target="http://torg.book-online.ru/photo_book/11532840.jpg" TargetMode="External"/><Relationship Id="rId124" Type="http://schemas.openxmlformats.org/officeDocument/2006/relationships/hyperlink" Target="http://torg.book-online.ru/photo_book/9594390.jpg" TargetMode="External"/><Relationship Id="rId527" Type="http://schemas.openxmlformats.org/officeDocument/2006/relationships/hyperlink" Target="http://torg.book-online.ru/photo_book/8235900.jpg" TargetMode="External"/><Relationship Id="rId569" Type="http://schemas.openxmlformats.org/officeDocument/2006/relationships/hyperlink" Target="http://torg.book-online.ru/photo_book/11451850.jpg" TargetMode="External"/><Relationship Id="rId734" Type="http://schemas.openxmlformats.org/officeDocument/2006/relationships/hyperlink" Target="http://torg.book-online.ru/photo_book/11903490.jpg" TargetMode="External"/><Relationship Id="rId776" Type="http://schemas.openxmlformats.org/officeDocument/2006/relationships/hyperlink" Target="http://torg.book-online.ru/photo_book/10845060.jpg" TargetMode="External"/><Relationship Id="rId941" Type="http://schemas.openxmlformats.org/officeDocument/2006/relationships/hyperlink" Target="http://torg.book-online.ru/photo_book/10372920.jpg" TargetMode="External"/><Relationship Id="rId983" Type="http://schemas.openxmlformats.org/officeDocument/2006/relationships/hyperlink" Target="http://torg.book-online.ru/photo_book/11775720.jpg" TargetMode="External"/><Relationship Id="rId1157" Type="http://schemas.openxmlformats.org/officeDocument/2006/relationships/hyperlink" Target="http://torg.book-online.ru/photo_book/11541090.jpg" TargetMode="External"/><Relationship Id="rId70" Type="http://schemas.openxmlformats.org/officeDocument/2006/relationships/hyperlink" Target="http://torg.book-online.ru/photo_book/11782490.jpg" TargetMode="External"/><Relationship Id="rId166" Type="http://schemas.openxmlformats.org/officeDocument/2006/relationships/hyperlink" Target="http://torg.book-online.ru/photo_book/10238960.jpg" TargetMode="External"/><Relationship Id="rId331" Type="http://schemas.openxmlformats.org/officeDocument/2006/relationships/hyperlink" Target="http://torg.book-online.ru/photo_book/10536280.jpg" TargetMode="External"/><Relationship Id="rId373" Type="http://schemas.openxmlformats.org/officeDocument/2006/relationships/hyperlink" Target="http://torg.book-online.ru/photo_book/8604890.jpg" TargetMode="External"/><Relationship Id="rId429" Type="http://schemas.openxmlformats.org/officeDocument/2006/relationships/hyperlink" Target="http://torg.book-online.ru/photo_book/10384390.jpg" TargetMode="External"/><Relationship Id="rId580" Type="http://schemas.openxmlformats.org/officeDocument/2006/relationships/hyperlink" Target="http://torg.book-online.ru/photo_book/9796660.jpg" TargetMode="External"/><Relationship Id="rId636" Type="http://schemas.openxmlformats.org/officeDocument/2006/relationships/hyperlink" Target="http://torg.book-online.ru/photo_book/8471990.jpg" TargetMode="External"/><Relationship Id="rId801" Type="http://schemas.openxmlformats.org/officeDocument/2006/relationships/hyperlink" Target="http://torg.book-online.ru/photo_book/8723820.jpg" TargetMode="External"/><Relationship Id="rId1017" Type="http://schemas.openxmlformats.org/officeDocument/2006/relationships/hyperlink" Target="http://torg.book-online.ru/photo_book/10492440.jpg" TargetMode="External"/><Relationship Id="rId1059" Type="http://schemas.openxmlformats.org/officeDocument/2006/relationships/hyperlink" Target="http://torg.book-online.ru/photo_book/11540920.jpg" TargetMode="External"/><Relationship Id="rId1" Type="http://schemas.openxmlformats.org/officeDocument/2006/relationships/hyperlink" Target="http://torg.book-online.ru/photo_book/11509670.jpg" TargetMode="External"/><Relationship Id="rId233" Type="http://schemas.openxmlformats.org/officeDocument/2006/relationships/hyperlink" Target="http://torg.book-online.ru/photo_book/10373390.jpg" TargetMode="External"/><Relationship Id="rId440" Type="http://schemas.openxmlformats.org/officeDocument/2006/relationships/hyperlink" Target="http://torg.book-online.ru/photo_book/11198990.jpg" TargetMode="External"/><Relationship Id="rId678" Type="http://schemas.openxmlformats.org/officeDocument/2006/relationships/hyperlink" Target="http://torg.book-online.ru/photo_book/10941500.jpg" TargetMode="External"/><Relationship Id="rId843" Type="http://schemas.openxmlformats.org/officeDocument/2006/relationships/hyperlink" Target="http://torg.book-online.ru/photo_book/11496590.jpg" TargetMode="External"/><Relationship Id="rId885" Type="http://schemas.openxmlformats.org/officeDocument/2006/relationships/hyperlink" Target="http://torg.book-online.ru/photo_book/11436990.jpg" TargetMode="External"/><Relationship Id="rId1070" Type="http://schemas.openxmlformats.org/officeDocument/2006/relationships/hyperlink" Target="http://torg.book-online.ru/photo_book/12039020.jpg" TargetMode="External"/><Relationship Id="rId1126" Type="http://schemas.openxmlformats.org/officeDocument/2006/relationships/hyperlink" Target="http://torg.book-online.ru/photo_book/11541160.jpg" TargetMode="External"/><Relationship Id="rId28" Type="http://schemas.openxmlformats.org/officeDocument/2006/relationships/hyperlink" Target="http://torg.book-online.ru/photo_book/10378310.jpg" TargetMode="External"/><Relationship Id="rId275" Type="http://schemas.openxmlformats.org/officeDocument/2006/relationships/hyperlink" Target="http://torg.book-online.ru/photo_book/9187370.jpg" TargetMode="External"/><Relationship Id="rId300" Type="http://schemas.openxmlformats.org/officeDocument/2006/relationships/hyperlink" Target="http://torg.book-online.ru/photo_book/9362470.jpg" TargetMode="External"/><Relationship Id="rId482" Type="http://schemas.openxmlformats.org/officeDocument/2006/relationships/hyperlink" Target="http://torg.book-online.ru/photo_book/8793960.jpg" TargetMode="External"/><Relationship Id="rId538" Type="http://schemas.openxmlformats.org/officeDocument/2006/relationships/hyperlink" Target="http://torg.book-online.ru/photo_book/9258140.jpg" TargetMode="External"/><Relationship Id="rId703" Type="http://schemas.openxmlformats.org/officeDocument/2006/relationships/hyperlink" Target="http://torg.book-online.ru/photo_book/9416860.jpg" TargetMode="External"/><Relationship Id="rId745" Type="http://schemas.openxmlformats.org/officeDocument/2006/relationships/hyperlink" Target="http://torg.book-online.ru/photo_book/11192130.jpg" TargetMode="External"/><Relationship Id="rId910" Type="http://schemas.openxmlformats.org/officeDocument/2006/relationships/hyperlink" Target="http://torg.book-online.ru/photo_book/8803610.jpg" TargetMode="External"/><Relationship Id="rId952" Type="http://schemas.openxmlformats.org/officeDocument/2006/relationships/hyperlink" Target="http://torg.book-online.ru/photo_book/8133370.jpg" TargetMode="External"/><Relationship Id="rId1168" Type="http://schemas.openxmlformats.org/officeDocument/2006/relationships/hyperlink" Target="http://torg.book-online.ru/photo_book/12041920.jpg" TargetMode="External"/><Relationship Id="rId81" Type="http://schemas.openxmlformats.org/officeDocument/2006/relationships/hyperlink" Target="http://torg.book-online.ru/photo_book/11959200.jpg" TargetMode="External"/><Relationship Id="rId135" Type="http://schemas.openxmlformats.org/officeDocument/2006/relationships/hyperlink" Target="http://torg.book-online.ru/photo_book/10536530.jpg" TargetMode="External"/><Relationship Id="rId177" Type="http://schemas.openxmlformats.org/officeDocument/2006/relationships/hyperlink" Target="http://torg.book-online.ru/photo_book/10702360.jpg" TargetMode="External"/><Relationship Id="rId342" Type="http://schemas.openxmlformats.org/officeDocument/2006/relationships/hyperlink" Target="http://torg.book-online.ru/photo_book/11067720.jpg" TargetMode="External"/><Relationship Id="rId384" Type="http://schemas.openxmlformats.org/officeDocument/2006/relationships/hyperlink" Target="http://torg.book-online.ru/photo_book/9690830.jpg" TargetMode="External"/><Relationship Id="rId591" Type="http://schemas.openxmlformats.org/officeDocument/2006/relationships/hyperlink" Target="http://torg.book-online.ru/photo_book/10440390.jpg" TargetMode="External"/><Relationship Id="rId605" Type="http://schemas.openxmlformats.org/officeDocument/2006/relationships/hyperlink" Target="http://torg.book-online.ru/photo_book/9656080.jpg" TargetMode="External"/><Relationship Id="rId787" Type="http://schemas.openxmlformats.org/officeDocument/2006/relationships/hyperlink" Target="http://torg.book-online.ru/photo_book/9556020.jpg" TargetMode="External"/><Relationship Id="rId812" Type="http://schemas.openxmlformats.org/officeDocument/2006/relationships/hyperlink" Target="http://torg.book-online.ru/photo_book/10739190.jpg" TargetMode="External"/><Relationship Id="rId994" Type="http://schemas.openxmlformats.org/officeDocument/2006/relationships/hyperlink" Target="http://torg.book-online.ru/photo_book/11610310.jpg" TargetMode="External"/><Relationship Id="rId1028" Type="http://schemas.openxmlformats.org/officeDocument/2006/relationships/hyperlink" Target="http://torg.book-online.ru/photo_book/8433250.jpg" TargetMode="External"/><Relationship Id="rId202" Type="http://schemas.openxmlformats.org/officeDocument/2006/relationships/hyperlink" Target="http://torg.book-online.ru/photo_book/9769370.jpg" TargetMode="External"/><Relationship Id="rId244" Type="http://schemas.openxmlformats.org/officeDocument/2006/relationships/hyperlink" Target="http://torg.book-online.ru/photo_book/8613270.jpg" TargetMode="External"/><Relationship Id="rId647" Type="http://schemas.openxmlformats.org/officeDocument/2006/relationships/hyperlink" Target="http://torg.book-online.ru/photo_book/8897170.jpg" TargetMode="External"/><Relationship Id="rId689" Type="http://schemas.openxmlformats.org/officeDocument/2006/relationships/hyperlink" Target="http://torg.book-online.ru/photo_book/9286740.jpg" TargetMode="External"/><Relationship Id="rId854" Type="http://schemas.openxmlformats.org/officeDocument/2006/relationships/hyperlink" Target="http://torg.book-online.ru/photo_book/10544240.jpg" TargetMode="External"/><Relationship Id="rId896" Type="http://schemas.openxmlformats.org/officeDocument/2006/relationships/hyperlink" Target="http://torg.book-online.ru/photo_book/11440060.jpg" TargetMode="External"/><Relationship Id="rId1081" Type="http://schemas.openxmlformats.org/officeDocument/2006/relationships/hyperlink" Target="http://torg.book-online.ru/photo_book/11719170.jpg" TargetMode="External"/><Relationship Id="rId39" Type="http://schemas.openxmlformats.org/officeDocument/2006/relationships/hyperlink" Target="http://torg.book-online.ru/photo_book/11782500.jpg" TargetMode="External"/><Relationship Id="rId286" Type="http://schemas.openxmlformats.org/officeDocument/2006/relationships/hyperlink" Target="http://torg.book-online.ru/photo_book/11118070.jpg" TargetMode="External"/><Relationship Id="rId451" Type="http://schemas.openxmlformats.org/officeDocument/2006/relationships/hyperlink" Target="http://torg.book-online.ru/photo_book/9401410.jpg" TargetMode="External"/><Relationship Id="rId493" Type="http://schemas.openxmlformats.org/officeDocument/2006/relationships/hyperlink" Target="http://torg.book-online.ru/photo_book/8926020.jpg" TargetMode="External"/><Relationship Id="rId507" Type="http://schemas.openxmlformats.org/officeDocument/2006/relationships/hyperlink" Target="http://torg.book-online.ru/photo_book/11934630.jpg" TargetMode="External"/><Relationship Id="rId549" Type="http://schemas.openxmlformats.org/officeDocument/2006/relationships/hyperlink" Target="http://torg.book-online.ru/photo_book/11937120.jpg" TargetMode="External"/><Relationship Id="rId714" Type="http://schemas.openxmlformats.org/officeDocument/2006/relationships/hyperlink" Target="http://torg.book-online.ru/photo_book/8740470.jpg" TargetMode="External"/><Relationship Id="rId756" Type="http://schemas.openxmlformats.org/officeDocument/2006/relationships/hyperlink" Target="http://torg.book-online.ru/photo_book/8805140.jpg" TargetMode="External"/><Relationship Id="rId921" Type="http://schemas.openxmlformats.org/officeDocument/2006/relationships/hyperlink" Target="http://torg.book-online.ru/photo_book/7970990.jpg" TargetMode="External"/><Relationship Id="rId1137" Type="http://schemas.openxmlformats.org/officeDocument/2006/relationships/hyperlink" Target="http://torg.book-online.ru/photo_book/11558680.jpg" TargetMode="External"/><Relationship Id="rId50" Type="http://schemas.openxmlformats.org/officeDocument/2006/relationships/hyperlink" Target="http://torg.book-online.ru/photo_book/11758150.jpg" TargetMode="External"/><Relationship Id="rId104" Type="http://schemas.openxmlformats.org/officeDocument/2006/relationships/hyperlink" Target="http://torg.book-online.ru/photo_book/9697770.jpg" TargetMode="External"/><Relationship Id="rId146" Type="http://schemas.openxmlformats.org/officeDocument/2006/relationships/hyperlink" Target="http://torg.book-online.ru/photo_book/10945370.jpg" TargetMode="External"/><Relationship Id="rId188" Type="http://schemas.openxmlformats.org/officeDocument/2006/relationships/hyperlink" Target="http://torg.book-online.ru/photo_book/10736800.jpg" TargetMode="External"/><Relationship Id="rId311" Type="http://schemas.openxmlformats.org/officeDocument/2006/relationships/hyperlink" Target="http://torg.book-online.ru/photo_book/12041840.jpg" TargetMode="External"/><Relationship Id="rId353" Type="http://schemas.openxmlformats.org/officeDocument/2006/relationships/hyperlink" Target="http://torg.book-online.ru/photo_book/9603660.jpg" TargetMode="External"/><Relationship Id="rId395" Type="http://schemas.openxmlformats.org/officeDocument/2006/relationships/hyperlink" Target="http://torg.book-online.ru/photo_book/9664070.jpg" TargetMode="External"/><Relationship Id="rId409" Type="http://schemas.openxmlformats.org/officeDocument/2006/relationships/hyperlink" Target="http://torg.book-online.ru/photo_book/10232640.jpg" TargetMode="External"/><Relationship Id="rId560" Type="http://schemas.openxmlformats.org/officeDocument/2006/relationships/hyperlink" Target="http://torg.book-online.ru/photo_book/11451050.jpg" TargetMode="External"/><Relationship Id="rId798" Type="http://schemas.openxmlformats.org/officeDocument/2006/relationships/hyperlink" Target="http://torg.book-online.ru/photo_book/8435090.jpg" TargetMode="External"/><Relationship Id="rId963" Type="http://schemas.openxmlformats.org/officeDocument/2006/relationships/hyperlink" Target="http://torg.book-online.ru/photo_book/10369200.jpg" TargetMode="External"/><Relationship Id="rId1039" Type="http://schemas.openxmlformats.org/officeDocument/2006/relationships/hyperlink" Target="http://torg.book-online.ru/photo_book/8206110.jpg" TargetMode="External"/><Relationship Id="rId92" Type="http://schemas.openxmlformats.org/officeDocument/2006/relationships/hyperlink" Target="http://torg.book-online.ru/photo_book/10917750.jpg" TargetMode="External"/><Relationship Id="rId213" Type="http://schemas.openxmlformats.org/officeDocument/2006/relationships/hyperlink" Target="http://torg.book-online.ru/photo_book/9859450.jpg" TargetMode="External"/><Relationship Id="rId420" Type="http://schemas.openxmlformats.org/officeDocument/2006/relationships/hyperlink" Target="http://torg.book-online.ru/photo_book/9585890.jpg" TargetMode="External"/><Relationship Id="rId616" Type="http://schemas.openxmlformats.org/officeDocument/2006/relationships/hyperlink" Target="http://torg.book-online.ru/photo_book/9620180.jpg" TargetMode="External"/><Relationship Id="rId658" Type="http://schemas.openxmlformats.org/officeDocument/2006/relationships/hyperlink" Target="http://torg.book-online.ru/photo_book/11018910.jpg" TargetMode="External"/><Relationship Id="rId823" Type="http://schemas.openxmlformats.org/officeDocument/2006/relationships/hyperlink" Target="http://torg.book-online.ru/photo_book/10409620.jpg" TargetMode="External"/><Relationship Id="rId865" Type="http://schemas.openxmlformats.org/officeDocument/2006/relationships/hyperlink" Target="http://torg.book-online.ru/photo_book/8018250.jpg" TargetMode="External"/><Relationship Id="rId1050" Type="http://schemas.openxmlformats.org/officeDocument/2006/relationships/hyperlink" Target="http://torg.book-online.ru/photo_book/12075740.jpg" TargetMode="External"/><Relationship Id="rId255" Type="http://schemas.openxmlformats.org/officeDocument/2006/relationships/hyperlink" Target="http://torg.book-online.ru/photo_book/9400150.jpg" TargetMode="External"/><Relationship Id="rId297" Type="http://schemas.openxmlformats.org/officeDocument/2006/relationships/hyperlink" Target="http://torg.book-online.ru/photo_book/11934370.jpg" TargetMode="External"/><Relationship Id="rId462" Type="http://schemas.openxmlformats.org/officeDocument/2006/relationships/hyperlink" Target="http://torg.book-online.ru/photo_book/11168220.jpg" TargetMode="External"/><Relationship Id="rId518" Type="http://schemas.openxmlformats.org/officeDocument/2006/relationships/hyperlink" Target="http://torg.book-online.ru/photo_book/9139810.jpg" TargetMode="External"/><Relationship Id="rId725" Type="http://schemas.openxmlformats.org/officeDocument/2006/relationships/hyperlink" Target="http://torg.book-online.ru/photo_book/10233700.jpg" TargetMode="External"/><Relationship Id="rId932" Type="http://schemas.openxmlformats.org/officeDocument/2006/relationships/hyperlink" Target="http://torg.book-online.ru/photo_book/10455400.jpg" TargetMode="External"/><Relationship Id="rId1092" Type="http://schemas.openxmlformats.org/officeDocument/2006/relationships/hyperlink" Target="http://torg.book-online.ru/photo_book/11916080.jpg" TargetMode="External"/><Relationship Id="rId1106" Type="http://schemas.openxmlformats.org/officeDocument/2006/relationships/hyperlink" Target="http://torg.book-online.ru/photo_book/11540910.jpg" TargetMode="External"/><Relationship Id="rId1148" Type="http://schemas.openxmlformats.org/officeDocument/2006/relationships/hyperlink" Target="http://torg.book-online.ru/photo_book/11567380.jpg" TargetMode="External"/><Relationship Id="rId115" Type="http://schemas.openxmlformats.org/officeDocument/2006/relationships/hyperlink" Target="http://torg.book-online.ru/photo_book/9422720.jpg" TargetMode="External"/><Relationship Id="rId157" Type="http://schemas.openxmlformats.org/officeDocument/2006/relationships/hyperlink" Target="http://torg.book-online.ru/photo_book/11663740.jpg" TargetMode="External"/><Relationship Id="rId322" Type="http://schemas.openxmlformats.org/officeDocument/2006/relationships/hyperlink" Target="http://torg.book-online.ru/photo_book/8229370.jpg" TargetMode="External"/><Relationship Id="rId364" Type="http://schemas.openxmlformats.org/officeDocument/2006/relationships/hyperlink" Target="http://torg.book-online.ru/photo_book/11610380.jpg" TargetMode="External"/><Relationship Id="rId767" Type="http://schemas.openxmlformats.org/officeDocument/2006/relationships/hyperlink" Target="http://torg.book-online.ru/photo_book/9038060.jpg" TargetMode="External"/><Relationship Id="rId974" Type="http://schemas.openxmlformats.org/officeDocument/2006/relationships/hyperlink" Target="http://torg.book-online.ru/photo_book/11092870.jpg" TargetMode="External"/><Relationship Id="rId1008" Type="http://schemas.openxmlformats.org/officeDocument/2006/relationships/hyperlink" Target="http://torg.book-online.ru/photo_book/7879290.jpg" TargetMode="External"/><Relationship Id="rId61" Type="http://schemas.openxmlformats.org/officeDocument/2006/relationships/hyperlink" Target="http://torg.book-online.ru/photo_book/11109170.jpg" TargetMode="External"/><Relationship Id="rId199" Type="http://schemas.openxmlformats.org/officeDocument/2006/relationships/hyperlink" Target="http://torg.book-online.ru/photo_book/9972800.jpg" TargetMode="External"/><Relationship Id="rId571" Type="http://schemas.openxmlformats.org/officeDocument/2006/relationships/hyperlink" Target="http://torg.book-online.ru/photo_book/10411700.jpg" TargetMode="External"/><Relationship Id="rId627" Type="http://schemas.openxmlformats.org/officeDocument/2006/relationships/hyperlink" Target="http://torg.book-online.ru/photo_book/8138840.jpg" TargetMode="External"/><Relationship Id="rId669" Type="http://schemas.openxmlformats.org/officeDocument/2006/relationships/hyperlink" Target="http://torg.book-online.ru/photo_book/10292550.jpg" TargetMode="External"/><Relationship Id="rId834" Type="http://schemas.openxmlformats.org/officeDocument/2006/relationships/hyperlink" Target="http://torg.book-online.ru/photo_book/8987000.jpg" TargetMode="External"/><Relationship Id="rId876" Type="http://schemas.openxmlformats.org/officeDocument/2006/relationships/hyperlink" Target="http://torg.book-online.ru/photo_book/11897850.jpg" TargetMode="External"/><Relationship Id="rId19" Type="http://schemas.openxmlformats.org/officeDocument/2006/relationships/hyperlink" Target="http://torg.book-online.ru/photo_book/11893880.jpg" TargetMode="External"/><Relationship Id="rId224" Type="http://schemas.openxmlformats.org/officeDocument/2006/relationships/hyperlink" Target="http://torg.book-online.ru/photo_book/10452490.jpg" TargetMode="External"/><Relationship Id="rId266" Type="http://schemas.openxmlformats.org/officeDocument/2006/relationships/hyperlink" Target="http://torg.book-online.ru/photo_book/9217370.jpg" TargetMode="External"/><Relationship Id="rId431" Type="http://schemas.openxmlformats.org/officeDocument/2006/relationships/hyperlink" Target="http://torg.book-online.ru/photo_book/10406720.jpg" TargetMode="External"/><Relationship Id="rId473" Type="http://schemas.openxmlformats.org/officeDocument/2006/relationships/hyperlink" Target="http://torg.book-online.ru/photo_book/6894270.jpg" TargetMode="External"/><Relationship Id="rId529" Type="http://schemas.openxmlformats.org/officeDocument/2006/relationships/hyperlink" Target="http://torg.book-online.ru/photo_book/11641980.jpg" TargetMode="External"/><Relationship Id="rId680" Type="http://schemas.openxmlformats.org/officeDocument/2006/relationships/hyperlink" Target="http://torg.book-online.ru/photo_book/9350700.jpg" TargetMode="External"/><Relationship Id="rId736" Type="http://schemas.openxmlformats.org/officeDocument/2006/relationships/hyperlink" Target="http://torg.book-online.ru/photo_book/8404760.jpg" TargetMode="External"/><Relationship Id="rId901" Type="http://schemas.openxmlformats.org/officeDocument/2006/relationships/hyperlink" Target="http://torg.book-online.ru/photo_book/11014980.jpg" TargetMode="External"/><Relationship Id="rId1061" Type="http://schemas.openxmlformats.org/officeDocument/2006/relationships/hyperlink" Target="http://torg.book-online.ru/photo_book/11919820.jpg" TargetMode="External"/><Relationship Id="rId1117" Type="http://schemas.openxmlformats.org/officeDocument/2006/relationships/hyperlink" Target="http://torg.book-online.ru/photo_book/12007180.jpg" TargetMode="External"/><Relationship Id="rId1159" Type="http://schemas.openxmlformats.org/officeDocument/2006/relationships/hyperlink" Target="http://torg.book-online.ru/photo_book/11541130.jpg" TargetMode="External"/><Relationship Id="rId30" Type="http://schemas.openxmlformats.org/officeDocument/2006/relationships/hyperlink" Target="http://torg.book-online.ru/photo_book/11291590.jpg" TargetMode="External"/><Relationship Id="rId126" Type="http://schemas.openxmlformats.org/officeDocument/2006/relationships/hyperlink" Target="http://torg.book-online.ru/photo_book/9441210.jpg" TargetMode="External"/><Relationship Id="rId168" Type="http://schemas.openxmlformats.org/officeDocument/2006/relationships/hyperlink" Target="http://torg.book-online.ru/photo_book/9733710.jpg" TargetMode="External"/><Relationship Id="rId333" Type="http://schemas.openxmlformats.org/officeDocument/2006/relationships/hyperlink" Target="http://torg.book-online.ru/photo_book/11774620.jpg" TargetMode="External"/><Relationship Id="rId540" Type="http://schemas.openxmlformats.org/officeDocument/2006/relationships/hyperlink" Target="http://torg.book-online.ru/photo_book/9258090.jpg" TargetMode="External"/><Relationship Id="rId778" Type="http://schemas.openxmlformats.org/officeDocument/2006/relationships/hyperlink" Target="http://torg.book-online.ru/photo_book/9733300.jpg" TargetMode="External"/><Relationship Id="rId943" Type="http://schemas.openxmlformats.org/officeDocument/2006/relationships/hyperlink" Target="http://torg.book-online.ru/photo_book/10403250.jpg" TargetMode="External"/><Relationship Id="rId985" Type="http://schemas.openxmlformats.org/officeDocument/2006/relationships/hyperlink" Target="http://torg.book-online.ru/photo_book/9379070.jpg" TargetMode="External"/><Relationship Id="rId1019" Type="http://schemas.openxmlformats.org/officeDocument/2006/relationships/hyperlink" Target="http://torg.book-online.ru/photo_book/11520920.jpg" TargetMode="External"/><Relationship Id="rId1170" Type="http://schemas.openxmlformats.org/officeDocument/2006/relationships/hyperlink" Target="http://torg.book-online.ru/photo_book/11541270.jpg" TargetMode="External"/><Relationship Id="rId72" Type="http://schemas.openxmlformats.org/officeDocument/2006/relationships/hyperlink" Target="http://torg.book-online.ru/photo_book/12057120.jpg" TargetMode="External"/><Relationship Id="rId375" Type="http://schemas.openxmlformats.org/officeDocument/2006/relationships/hyperlink" Target="http://torg.book-online.ru/photo_book/8824550.jpg" TargetMode="External"/><Relationship Id="rId582" Type="http://schemas.openxmlformats.org/officeDocument/2006/relationships/hyperlink" Target="http://torg.book-online.ru/photo_book/9796630.jpg" TargetMode="External"/><Relationship Id="rId638" Type="http://schemas.openxmlformats.org/officeDocument/2006/relationships/hyperlink" Target="http://torg.book-online.ru/photo_book/8976720.jpg" TargetMode="External"/><Relationship Id="rId803" Type="http://schemas.openxmlformats.org/officeDocument/2006/relationships/hyperlink" Target="http://torg.book-online.ru/photo_book/11144140.jpg" TargetMode="External"/><Relationship Id="rId845" Type="http://schemas.openxmlformats.org/officeDocument/2006/relationships/hyperlink" Target="http://torg.book-online.ru/photo_book/11496600.jpg" TargetMode="External"/><Relationship Id="rId1030" Type="http://schemas.openxmlformats.org/officeDocument/2006/relationships/hyperlink" Target="http://torg.book-online.ru/photo_book/9196400.jpg" TargetMode="External"/><Relationship Id="rId3" Type="http://schemas.openxmlformats.org/officeDocument/2006/relationships/hyperlink" Target="http://torg.book-online.ru/photo_book/11962340.jpg" TargetMode="External"/><Relationship Id="rId235" Type="http://schemas.openxmlformats.org/officeDocument/2006/relationships/hyperlink" Target="http://torg.book-online.ru/photo_book/8559520.jpg" TargetMode="External"/><Relationship Id="rId277" Type="http://schemas.openxmlformats.org/officeDocument/2006/relationships/hyperlink" Target="http://torg.book-online.ru/photo_book/7792410.jpg" TargetMode="External"/><Relationship Id="rId400" Type="http://schemas.openxmlformats.org/officeDocument/2006/relationships/hyperlink" Target="http://torg.book-online.ru/photo_book/9968220.jpg" TargetMode="External"/><Relationship Id="rId442" Type="http://schemas.openxmlformats.org/officeDocument/2006/relationships/hyperlink" Target="http://torg.book-online.ru/photo_book/9613260.jpg" TargetMode="External"/><Relationship Id="rId484" Type="http://schemas.openxmlformats.org/officeDocument/2006/relationships/hyperlink" Target="http://torg.book-online.ru/photo_book/8939090.jpg" TargetMode="External"/><Relationship Id="rId705" Type="http://schemas.openxmlformats.org/officeDocument/2006/relationships/hyperlink" Target="http://torg.book-online.ru/photo_book/10043500.jpg" TargetMode="External"/><Relationship Id="rId887" Type="http://schemas.openxmlformats.org/officeDocument/2006/relationships/hyperlink" Target="http://torg.book-online.ru/photo_book/11440010.jpg" TargetMode="External"/><Relationship Id="rId1072" Type="http://schemas.openxmlformats.org/officeDocument/2006/relationships/hyperlink" Target="http://torg.book-online.ru/photo_book/11813170.jpg" TargetMode="External"/><Relationship Id="rId1128" Type="http://schemas.openxmlformats.org/officeDocument/2006/relationships/hyperlink" Target="http://torg.book-online.ru/photo_book/11541200.jpg" TargetMode="External"/><Relationship Id="rId137" Type="http://schemas.openxmlformats.org/officeDocument/2006/relationships/hyperlink" Target="http://torg.book-online.ru/photo_book/10408430.jpg" TargetMode="External"/><Relationship Id="rId302" Type="http://schemas.openxmlformats.org/officeDocument/2006/relationships/hyperlink" Target="http://torg.book-online.ru/photo_book/8423220.jpg" TargetMode="External"/><Relationship Id="rId344" Type="http://schemas.openxmlformats.org/officeDocument/2006/relationships/hyperlink" Target="http://torg.book-online.ru/photo_book/10488810.jpg" TargetMode="External"/><Relationship Id="rId691" Type="http://schemas.openxmlformats.org/officeDocument/2006/relationships/hyperlink" Target="http://torg.book-online.ru/photo_book/9806910.jpg" TargetMode="External"/><Relationship Id="rId747" Type="http://schemas.openxmlformats.org/officeDocument/2006/relationships/hyperlink" Target="http://torg.book-online.ru/photo_book/10239790.jpg" TargetMode="External"/><Relationship Id="rId789" Type="http://schemas.openxmlformats.org/officeDocument/2006/relationships/hyperlink" Target="http://torg.book-online.ru/photo_book/9868390.jpg" TargetMode="External"/><Relationship Id="rId912" Type="http://schemas.openxmlformats.org/officeDocument/2006/relationships/hyperlink" Target="http://torg.book-online.ru/photo_book/11191690.jpg" TargetMode="External"/><Relationship Id="rId954" Type="http://schemas.openxmlformats.org/officeDocument/2006/relationships/hyperlink" Target="http://torg.book-online.ru/photo_book/8474930.jpg" TargetMode="External"/><Relationship Id="rId996" Type="http://schemas.openxmlformats.org/officeDocument/2006/relationships/hyperlink" Target="http://torg.book-online.ru/photo_book/11746610.jpg" TargetMode="External"/><Relationship Id="rId41" Type="http://schemas.openxmlformats.org/officeDocument/2006/relationships/hyperlink" Target="http://torg.book-online.ru/photo_book/10426170.jpg" TargetMode="External"/><Relationship Id="rId83" Type="http://schemas.openxmlformats.org/officeDocument/2006/relationships/hyperlink" Target="http://torg.book-online.ru/photo_book/10402780.jpg" TargetMode="External"/><Relationship Id="rId179" Type="http://schemas.openxmlformats.org/officeDocument/2006/relationships/hyperlink" Target="http://torg.book-online.ru/photo_book/9978530.jpg" TargetMode="External"/><Relationship Id="rId386" Type="http://schemas.openxmlformats.org/officeDocument/2006/relationships/hyperlink" Target="http://torg.book-online.ru/photo_book/9680470.jpg" TargetMode="External"/><Relationship Id="rId551" Type="http://schemas.openxmlformats.org/officeDocument/2006/relationships/hyperlink" Target="http://torg.book-online.ru/photo_book/11267820.jpg" TargetMode="External"/><Relationship Id="rId593" Type="http://schemas.openxmlformats.org/officeDocument/2006/relationships/hyperlink" Target="http://torg.book-online.ru/photo_book/11498480.jpg" TargetMode="External"/><Relationship Id="rId607" Type="http://schemas.openxmlformats.org/officeDocument/2006/relationships/hyperlink" Target="http://torg.book-online.ru/photo_book/11498440.jpg" TargetMode="External"/><Relationship Id="rId649" Type="http://schemas.openxmlformats.org/officeDocument/2006/relationships/hyperlink" Target="http://torg.book-online.ru/photo_book/8897150.jpg" TargetMode="External"/><Relationship Id="rId814" Type="http://schemas.openxmlformats.org/officeDocument/2006/relationships/hyperlink" Target="http://torg.book-online.ru/photo_book/9091300.jpg" TargetMode="External"/><Relationship Id="rId856" Type="http://schemas.openxmlformats.org/officeDocument/2006/relationships/hyperlink" Target="http://torg.book-online.ru/photo_book/10043450.jpg" TargetMode="External"/><Relationship Id="rId190" Type="http://schemas.openxmlformats.org/officeDocument/2006/relationships/hyperlink" Target="http://torg.book-online.ru/photo_book/10367310.jpg" TargetMode="External"/><Relationship Id="rId204" Type="http://schemas.openxmlformats.org/officeDocument/2006/relationships/hyperlink" Target="http://torg.book-online.ru/photo_book/8461780.jpg" TargetMode="External"/><Relationship Id="rId246" Type="http://schemas.openxmlformats.org/officeDocument/2006/relationships/hyperlink" Target="http://torg.book-online.ru/photo_book/11116430.jpg" TargetMode="External"/><Relationship Id="rId288" Type="http://schemas.openxmlformats.org/officeDocument/2006/relationships/hyperlink" Target="http://torg.book-online.ru/photo_book/9675470.jpg" TargetMode="External"/><Relationship Id="rId411" Type="http://schemas.openxmlformats.org/officeDocument/2006/relationships/hyperlink" Target="http://torg.book-online.ru/photo_book/10166370.jpg" TargetMode="External"/><Relationship Id="rId453" Type="http://schemas.openxmlformats.org/officeDocument/2006/relationships/hyperlink" Target="http://torg.book-online.ru/photo_book/9494750.jpg" TargetMode="External"/><Relationship Id="rId509" Type="http://schemas.openxmlformats.org/officeDocument/2006/relationships/hyperlink" Target="http://torg.book-online.ru/photo_book/11141950.jpg" TargetMode="External"/><Relationship Id="rId660" Type="http://schemas.openxmlformats.org/officeDocument/2006/relationships/hyperlink" Target="http://torg.book-online.ru/photo_book/9448180.jpg" TargetMode="External"/><Relationship Id="rId898" Type="http://schemas.openxmlformats.org/officeDocument/2006/relationships/hyperlink" Target="http://torg.book-online.ru/photo_book/11502900.jpg" TargetMode="External"/><Relationship Id="rId1041" Type="http://schemas.openxmlformats.org/officeDocument/2006/relationships/hyperlink" Target="http://torg.book-online.ru/photo_book/7548470.jpg" TargetMode="External"/><Relationship Id="rId1083" Type="http://schemas.openxmlformats.org/officeDocument/2006/relationships/hyperlink" Target="http://torg.book-online.ru/photo_book/11964360.jpg" TargetMode="External"/><Relationship Id="rId1139" Type="http://schemas.openxmlformats.org/officeDocument/2006/relationships/hyperlink" Target="http://torg.book-online.ru/photo_book/11833930.jpg" TargetMode="External"/><Relationship Id="rId106" Type="http://schemas.openxmlformats.org/officeDocument/2006/relationships/hyperlink" Target="http://torg.book-online.ru/photo_book/9704030.jpg" TargetMode="External"/><Relationship Id="rId313" Type="http://schemas.openxmlformats.org/officeDocument/2006/relationships/hyperlink" Target="http://torg.book-online.ru/photo_book/9252540.jpg" TargetMode="External"/><Relationship Id="rId495" Type="http://schemas.openxmlformats.org/officeDocument/2006/relationships/hyperlink" Target="http://torg.book-online.ru/photo_book/8859280.jpg" TargetMode="External"/><Relationship Id="rId716" Type="http://schemas.openxmlformats.org/officeDocument/2006/relationships/hyperlink" Target="http://torg.book-online.ru/photo_book/9053190.jpg" TargetMode="External"/><Relationship Id="rId758" Type="http://schemas.openxmlformats.org/officeDocument/2006/relationships/hyperlink" Target="http://torg.book-online.ru/photo_book/7288270.jpg" TargetMode="External"/><Relationship Id="rId923" Type="http://schemas.openxmlformats.org/officeDocument/2006/relationships/hyperlink" Target="http://torg.book-online.ru/photo_book/8558730.jpg" TargetMode="External"/><Relationship Id="rId965" Type="http://schemas.openxmlformats.org/officeDocument/2006/relationships/hyperlink" Target="http://torg.book-online.ru/photo_book/7821320.jpg" TargetMode="External"/><Relationship Id="rId1150" Type="http://schemas.openxmlformats.org/officeDocument/2006/relationships/hyperlink" Target="http://torg.book-online.ru/photo_book/11575250.jpg" TargetMode="External"/><Relationship Id="rId10" Type="http://schemas.openxmlformats.org/officeDocument/2006/relationships/hyperlink" Target="http://torg.book-online.ru/photo_book/11647160.jpg" TargetMode="External"/><Relationship Id="rId52" Type="http://schemas.openxmlformats.org/officeDocument/2006/relationships/hyperlink" Target="http://torg.book-online.ru/photo_book/11680500.jpg" TargetMode="External"/><Relationship Id="rId94" Type="http://schemas.openxmlformats.org/officeDocument/2006/relationships/hyperlink" Target="http://torg.book-online.ru/photo_book/12039310.jpg" TargetMode="External"/><Relationship Id="rId148" Type="http://schemas.openxmlformats.org/officeDocument/2006/relationships/hyperlink" Target="http://torg.book-online.ru/photo_book/9859790.jpg" TargetMode="External"/><Relationship Id="rId355" Type="http://schemas.openxmlformats.org/officeDocument/2006/relationships/hyperlink" Target="http://torg.book-online.ru/photo_book/10276400.jpg" TargetMode="External"/><Relationship Id="rId397" Type="http://schemas.openxmlformats.org/officeDocument/2006/relationships/hyperlink" Target="http://torg.book-online.ru/photo_book/9750120.jpg" TargetMode="External"/><Relationship Id="rId520" Type="http://schemas.openxmlformats.org/officeDocument/2006/relationships/hyperlink" Target="http://torg.book-online.ru/photo_book/11230090.jpg" TargetMode="External"/><Relationship Id="rId562" Type="http://schemas.openxmlformats.org/officeDocument/2006/relationships/hyperlink" Target="http://torg.book-online.ru/photo_book/11451840.jpg" TargetMode="External"/><Relationship Id="rId618" Type="http://schemas.openxmlformats.org/officeDocument/2006/relationships/hyperlink" Target="http://torg.book-online.ru/photo_book/10236550.jpg" TargetMode="External"/><Relationship Id="rId825" Type="http://schemas.openxmlformats.org/officeDocument/2006/relationships/hyperlink" Target="http://torg.book-online.ru/photo_book/8441870.jpg" TargetMode="External"/><Relationship Id="rId215" Type="http://schemas.openxmlformats.org/officeDocument/2006/relationships/hyperlink" Target="http://torg.book-online.ru/photo_book/9942710.jpg" TargetMode="External"/><Relationship Id="rId257" Type="http://schemas.openxmlformats.org/officeDocument/2006/relationships/hyperlink" Target="http://torg.book-online.ru/photo_book/10943810.jpg" TargetMode="External"/><Relationship Id="rId422" Type="http://schemas.openxmlformats.org/officeDocument/2006/relationships/hyperlink" Target="http://torg.book-online.ru/photo_book/8221760.jpg" TargetMode="External"/><Relationship Id="rId464" Type="http://schemas.openxmlformats.org/officeDocument/2006/relationships/hyperlink" Target="http://torg.book-online.ru/photo_book/11490190.jpg" TargetMode="External"/><Relationship Id="rId867" Type="http://schemas.openxmlformats.org/officeDocument/2006/relationships/hyperlink" Target="http://torg.book-online.ru/photo_book/11071020.jpg" TargetMode="External"/><Relationship Id="rId1010" Type="http://schemas.openxmlformats.org/officeDocument/2006/relationships/hyperlink" Target="http://torg.book-online.ru/photo_book/10556700.jpg" TargetMode="External"/><Relationship Id="rId1052" Type="http://schemas.openxmlformats.org/officeDocument/2006/relationships/hyperlink" Target="http://torg.book-online.ru/photo_book/11956490.jpg" TargetMode="External"/><Relationship Id="rId1094" Type="http://schemas.openxmlformats.org/officeDocument/2006/relationships/hyperlink" Target="http://torg.book-online.ru/photo_book/11541000.jpg" TargetMode="External"/><Relationship Id="rId1108" Type="http://schemas.openxmlformats.org/officeDocument/2006/relationships/hyperlink" Target="http://torg.book-online.ru/photo_book/11694020.jpg" TargetMode="External"/><Relationship Id="rId299" Type="http://schemas.openxmlformats.org/officeDocument/2006/relationships/hyperlink" Target="http://torg.book-online.ru/photo_book/9348600.jpg" TargetMode="External"/><Relationship Id="rId727" Type="http://schemas.openxmlformats.org/officeDocument/2006/relationships/hyperlink" Target="http://torg.book-online.ru/photo_book/10162150.jpg" TargetMode="External"/><Relationship Id="rId934" Type="http://schemas.openxmlformats.org/officeDocument/2006/relationships/hyperlink" Target="http://torg.book-online.ru/photo_book/8897120.jpg" TargetMode="External"/><Relationship Id="rId63" Type="http://schemas.openxmlformats.org/officeDocument/2006/relationships/hyperlink" Target="http://torg.book-online.ru/photo_book/11977380.jpg" TargetMode="External"/><Relationship Id="rId159" Type="http://schemas.openxmlformats.org/officeDocument/2006/relationships/hyperlink" Target="http://torg.book-online.ru/photo_book/10664790.jpg" TargetMode="External"/><Relationship Id="rId366" Type="http://schemas.openxmlformats.org/officeDocument/2006/relationships/hyperlink" Target="http://torg.book-online.ru/photo_book/11265110.jpg" TargetMode="External"/><Relationship Id="rId573" Type="http://schemas.openxmlformats.org/officeDocument/2006/relationships/hyperlink" Target="http://torg.book-online.ru/photo_book/10413140.jpg" TargetMode="External"/><Relationship Id="rId780" Type="http://schemas.openxmlformats.org/officeDocument/2006/relationships/hyperlink" Target="http://torg.book-online.ru/photo_book/9750250.jpg" TargetMode="External"/><Relationship Id="rId226" Type="http://schemas.openxmlformats.org/officeDocument/2006/relationships/hyperlink" Target="http://torg.book-online.ru/photo_book/10238980.jpg" TargetMode="External"/><Relationship Id="rId433" Type="http://schemas.openxmlformats.org/officeDocument/2006/relationships/hyperlink" Target="http://torg.book-online.ru/photo_book/8573970.jpg" TargetMode="External"/><Relationship Id="rId878" Type="http://schemas.openxmlformats.org/officeDocument/2006/relationships/hyperlink" Target="http://torg.book-online.ru/photo_book/9972900.jpg" TargetMode="External"/><Relationship Id="rId1063" Type="http://schemas.openxmlformats.org/officeDocument/2006/relationships/hyperlink" Target="http://torg.book-online.ru/photo_book/11540840.jpg" TargetMode="External"/><Relationship Id="rId640" Type="http://schemas.openxmlformats.org/officeDocument/2006/relationships/hyperlink" Target="http://torg.book-online.ru/photo_book/9577790.jpg" TargetMode="External"/><Relationship Id="rId738" Type="http://schemas.openxmlformats.org/officeDocument/2006/relationships/hyperlink" Target="http://torg.book-online.ru/photo_book/9112600.jpg" TargetMode="External"/><Relationship Id="rId945" Type="http://schemas.openxmlformats.org/officeDocument/2006/relationships/hyperlink" Target="http://torg.book-online.ru/photo_book/10096290.jpg" TargetMode="External"/><Relationship Id="rId74" Type="http://schemas.openxmlformats.org/officeDocument/2006/relationships/hyperlink" Target="http://torg.book-online.ru/photo_book/10466070.jpg" TargetMode="External"/><Relationship Id="rId377" Type="http://schemas.openxmlformats.org/officeDocument/2006/relationships/hyperlink" Target="http://torg.book-online.ru/photo_book/8679710.jpg" TargetMode="External"/><Relationship Id="rId500" Type="http://schemas.openxmlformats.org/officeDocument/2006/relationships/hyperlink" Target="http://torg.book-online.ru/photo_book/9224260.jpg" TargetMode="External"/><Relationship Id="rId584" Type="http://schemas.openxmlformats.org/officeDocument/2006/relationships/hyperlink" Target="http://torg.book-online.ru/photo_book/9745010.jpg" TargetMode="External"/><Relationship Id="rId805" Type="http://schemas.openxmlformats.org/officeDocument/2006/relationships/hyperlink" Target="http://torg.book-online.ru/photo_book/11316950.jpg" TargetMode="External"/><Relationship Id="rId1130" Type="http://schemas.openxmlformats.org/officeDocument/2006/relationships/hyperlink" Target="http://torg.book-online.ru/photo_book/11541190.jpg" TargetMode="External"/><Relationship Id="rId5" Type="http://schemas.openxmlformats.org/officeDocument/2006/relationships/hyperlink" Target="http://torg.book-online.ru/photo_book/11657470.jpg" TargetMode="External"/><Relationship Id="rId237" Type="http://schemas.openxmlformats.org/officeDocument/2006/relationships/hyperlink" Target="http://torg.book-online.ru/photo_book/9298700.jpg" TargetMode="External"/><Relationship Id="rId791" Type="http://schemas.openxmlformats.org/officeDocument/2006/relationships/hyperlink" Target="http://torg.book-online.ru/photo_book/11951390.jpg" TargetMode="External"/><Relationship Id="rId889" Type="http://schemas.openxmlformats.org/officeDocument/2006/relationships/hyperlink" Target="http://torg.book-online.ru/photo_book/11379920.jpg" TargetMode="External"/><Relationship Id="rId1074" Type="http://schemas.openxmlformats.org/officeDocument/2006/relationships/hyperlink" Target="http://torg.book-online.ru/photo_book/11625970.jpg" TargetMode="External"/><Relationship Id="rId444" Type="http://schemas.openxmlformats.org/officeDocument/2006/relationships/hyperlink" Target="http://torg.book-online.ru/photo_book/9688020.jpg" TargetMode="External"/><Relationship Id="rId651" Type="http://schemas.openxmlformats.org/officeDocument/2006/relationships/hyperlink" Target="http://torg.book-online.ru/photo_book/9859800.jpg" TargetMode="External"/><Relationship Id="rId749" Type="http://schemas.openxmlformats.org/officeDocument/2006/relationships/hyperlink" Target="http://torg.book-online.ru/photo_book/11509570.jpg" TargetMode="External"/><Relationship Id="rId290" Type="http://schemas.openxmlformats.org/officeDocument/2006/relationships/hyperlink" Target="http://torg.book-online.ru/photo_book/11577900.jpg" TargetMode="External"/><Relationship Id="rId304" Type="http://schemas.openxmlformats.org/officeDocument/2006/relationships/hyperlink" Target="http://torg.book-online.ru/photo_book/9521050.jpg" TargetMode="External"/><Relationship Id="rId388" Type="http://schemas.openxmlformats.org/officeDocument/2006/relationships/hyperlink" Target="http://torg.book-online.ru/photo_book/9709570.jpg" TargetMode="External"/><Relationship Id="rId511" Type="http://schemas.openxmlformats.org/officeDocument/2006/relationships/hyperlink" Target="http://torg.book-online.ru/photo_book/11527500.jpg" TargetMode="External"/><Relationship Id="rId609" Type="http://schemas.openxmlformats.org/officeDocument/2006/relationships/hyperlink" Target="http://torg.book-online.ru/photo_book/11498570.jpg" TargetMode="External"/><Relationship Id="rId956" Type="http://schemas.openxmlformats.org/officeDocument/2006/relationships/hyperlink" Target="http://torg.book-online.ru/photo_book/9035890.jpg" TargetMode="External"/><Relationship Id="rId1141" Type="http://schemas.openxmlformats.org/officeDocument/2006/relationships/hyperlink" Target="http://torg.book-online.ru/photo_book/11541150.jpg" TargetMode="External"/><Relationship Id="rId85" Type="http://schemas.openxmlformats.org/officeDocument/2006/relationships/hyperlink" Target="http://torg.book-online.ru/photo_book/12039300.jpg" TargetMode="External"/><Relationship Id="rId150" Type="http://schemas.openxmlformats.org/officeDocument/2006/relationships/hyperlink" Target="http://torg.book-online.ru/photo_book/10169150.jpg" TargetMode="External"/><Relationship Id="rId595" Type="http://schemas.openxmlformats.org/officeDocument/2006/relationships/hyperlink" Target="http://torg.book-online.ru/photo_book/10440780.jpg" TargetMode="External"/><Relationship Id="rId816" Type="http://schemas.openxmlformats.org/officeDocument/2006/relationships/hyperlink" Target="http://torg.book-online.ru/photo_book/9102530.jpg" TargetMode="External"/><Relationship Id="rId1001" Type="http://schemas.openxmlformats.org/officeDocument/2006/relationships/hyperlink" Target="http://torg.book-online.ru/photo_book/11492880.jpg" TargetMode="External"/><Relationship Id="rId248" Type="http://schemas.openxmlformats.org/officeDocument/2006/relationships/hyperlink" Target="http://torg.book-online.ru/photo_book/9356980.jpg" TargetMode="External"/><Relationship Id="rId455" Type="http://schemas.openxmlformats.org/officeDocument/2006/relationships/hyperlink" Target="http://torg.book-online.ru/photo_book/9147770.jpg" TargetMode="External"/><Relationship Id="rId662" Type="http://schemas.openxmlformats.org/officeDocument/2006/relationships/hyperlink" Target="http://torg.book-online.ru/photo_book/9767040.jpg" TargetMode="External"/><Relationship Id="rId1085" Type="http://schemas.openxmlformats.org/officeDocument/2006/relationships/hyperlink" Target="http://torg.book-online.ru/photo_book/11541490.jpg" TargetMode="External"/><Relationship Id="rId12" Type="http://schemas.openxmlformats.org/officeDocument/2006/relationships/hyperlink" Target="http://torg.book-online.ru/photo_book/11680480.jpg" TargetMode="External"/><Relationship Id="rId108" Type="http://schemas.openxmlformats.org/officeDocument/2006/relationships/hyperlink" Target="http://torg.book-online.ru/photo_book/11030910.jpg" TargetMode="External"/><Relationship Id="rId315" Type="http://schemas.openxmlformats.org/officeDocument/2006/relationships/hyperlink" Target="http://torg.book-online.ru/photo_book/9287160.jpg" TargetMode="External"/><Relationship Id="rId522" Type="http://schemas.openxmlformats.org/officeDocument/2006/relationships/hyperlink" Target="http://torg.book-online.ru/photo_book/11080320.jpg" TargetMode="External"/><Relationship Id="rId967" Type="http://schemas.openxmlformats.org/officeDocument/2006/relationships/hyperlink" Target="http://torg.book-online.ru/photo_book/9490510.jpg" TargetMode="External"/><Relationship Id="rId1152" Type="http://schemas.openxmlformats.org/officeDocument/2006/relationships/hyperlink" Target="http://torg.book-online.ru/photo_book/11935880.jpg" TargetMode="External"/><Relationship Id="rId96" Type="http://schemas.openxmlformats.org/officeDocument/2006/relationships/hyperlink" Target="http://torg.book-online.ru/photo_book/10726950.jpg" TargetMode="External"/><Relationship Id="rId161" Type="http://schemas.openxmlformats.org/officeDocument/2006/relationships/hyperlink" Target="http://torg.book-online.ru/photo_book/9797020.jpg" TargetMode="External"/><Relationship Id="rId399" Type="http://schemas.openxmlformats.org/officeDocument/2006/relationships/hyperlink" Target="http://torg.book-online.ru/photo_book/9968230.jpg" TargetMode="External"/><Relationship Id="rId827" Type="http://schemas.openxmlformats.org/officeDocument/2006/relationships/hyperlink" Target="http://torg.book-online.ru/photo_book/11022610.jpg" TargetMode="External"/><Relationship Id="rId1012" Type="http://schemas.openxmlformats.org/officeDocument/2006/relationships/hyperlink" Target="http://torg.book-online.ru/photo_book/9857640.jpg" TargetMode="External"/><Relationship Id="rId259" Type="http://schemas.openxmlformats.org/officeDocument/2006/relationships/hyperlink" Target="http://torg.book-online.ru/photo_book/9233970.jpg" TargetMode="External"/><Relationship Id="rId466" Type="http://schemas.openxmlformats.org/officeDocument/2006/relationships/hyperlink" Target="http://torg.book-online.ru/photo_book/10555960.jpg" TargetMode="External"/><Relationship Id="rId673" Type="http://schemas.openxmlformats.org/officeDocument/2006/relationships/hyperlink" Target="http://torg.book-online.ru/photo_book/9968560.jpg" TargetMode="External"/><Relationship Id="rId880" Type="http://schemas.openxmlformats.org/officeDocument/2006/relationships/hyperlink" Target="http://torg.book-online.ru/photo_book/10225350.jpg" TargetMode="External"/><Relationship Id="rId1096" Type="http://schemas.openxmlformats.org/officeDocument/2006/relationships/hyperlink" Target="http://torg.book-online.ru/photo_book/11540980.jpg" TargetMode="External"/><Relationship Id="rId23" Type="http://schemas.openxmlformats.org/officeDocument/2006/relationships/hyperlink" Target="http://torg.book-online.ru/photo_book/11663750.jpg" TargetMode="External"/><Relationship Id="rId119" Type="http://schemas.openxmlformats.org/officeDocument/2006/relationships/hyperlink" Target="http://torg.book-online.ru/photo_book/11388370.jpg" TargetMode="External"/><Relationship Id="rId326" Type="http://schemas.openxmlformats.org/officeDocument/2006/relationships/hyperlink" Target="http://torg.book-online.ru/photo_book/11664070.jpg" TargetMode="External"/><Relationship Id="rId533" Type="http://schemas.openxmlformats.org/officeDocument/2006/relationships/hyperlink" Target="http://torg.book-online.ru/photo_book/10239750.jpg" TargetMode="External"/><Relationship Id="rId978" Type="http://schemas.openxmlformats.org/officeDocument/2006/relationships/hyperlink" Target="http://torg.book-online.ru/photo_book/9366990.jpg" TargetMode="External"/><Relationship Id="rId1163" Type="http://schemas.openxmlformats.org/officeDocument/2006/relationships/hyperlink" Target="http://torg.book-online.ru/photo_book/11541120.jpg" TargetMode="External"/><Relationship Id="rId740" Type="http://schemas.openxmlformats.org/officeDocument/2006/relationships/hyperlink" Target="http://torg.book-online.ru/photo_book/11775730.jpg" TargetMode="External"/><Relationship Id="rId838" Type="http://schemas.openxmlformats.org/officeDocument/2006/relationships/hyperlink" Target="http://torg.book-online.ru/photo_book/11679850.jpg" TargetMode="External"/><Relationship Id="rId1023" Type="http://schemas.openxmlformats.org/officeDocument/2006/relationships/hyperlink" Target="http://torg.book-online.ru/photo_book/11012660.jpg" TargetMode="External"/><Relationship Id="rId172" Type="http://schemas.openxmlformats.org/officeDocument/2006/relationships/hyperlink" Target="http://torg.book-online.ru/photo_book/11169160.jpg" TargetMode="External"/><Relationship Id="rId477" Type="http://schemas.openxmlformats.org/officeDocument/2006/relationships/hyperlink" Target="http://torg.book-online.ru/photo_book/8925100.jpg" TargetMode="External"/><Relationship Id="rId600" Type="http://schemas.openxmlformats.org/officeDocument/2006/relationships/hyperlink" Target="http://torg.book-online.ru/photo_book/10440330.jpg" TargetMode="External"/><Relationship Id="rId684" Type="http://schemas.openxmlformats.org/officeDocument/2006/relationships/hyperlink" Target="http://torg.book-online.ru/photo_book/9670410.jpg" TargetMode="External"/><Relationship Id="rId337" Type="http://schemas.openxmlformats.org/officeDocument/2006/relationships/hyperlink" Target="http://torg.book-online.ru/photo_book/10994690.jpg" TargetMode="External"/><Relationship Id="rId891" Type="http://schemas.openxmlformats.org/officeDocument/2006/relationships/hyperlink" Target="http://torg.book-online.ru/photo_book/11073730.jpg" TargetMode="External"/><Relationship Id="rId905" Type="http://schemas.openxmlformats.org/officeDocument/2006/relationships/hyperlink" Target="http://torg.book-online.ru/photo_book/8787030.jpg" TargetMode="External"/><Relationship Id="rId989" Type="http://schemas.openxmlformats.org/officeDocument/2006/relationships/hyperlink" Target="http://torg.book-online.ru/photo_book/11572450.jpg" TargetMode="External"/><Relationship Id="rId34" Type="http://schemas.openxmlformats.org/officeDocument/2006/relationships/hyperlink" Target="http://torg.book-online.ru/photo_book/11937280.jpg" TargetMode="External"/><Relationship Id="rId544" Type="http://schemas.openxmlformats.org/officeDocument/2006/relationships/hyperlink" Target="http://torg.book-online.ru/photo_book/9536820.jpg" TargetMode="External"/><Relationship Id="rId751" Type="http://schemas.openxmlformats.org/officeDocument/2006/relationships/hyperlink" Target="http://torg.book-online.ru/photo_book/10643980.jpg" TargetMode="External"/><Relationship Id="rId849" Type="http://schemas.openxmlformats.org/officeDocument/2006/relationships/hyperlink" Target="http://torg.book-online.ru/photo_book/9868400.jpg" TargetMode="External"/><Relationship Id="rId183" Type="http://schemas.openxmlformats.org/officeDocument/2006/relationships/hyperlink" Target="http://torg.book-online.ru/photo_book/10162230.jpg" TargetMode="External"/><Relationship Id="rId390" Type="http://schemas.openxmlformats.org/officeDocument/2006/relationships/hyperlink" Target="http://torg.book-online.ru/photo_book/9680450.jpg" TargetMode="External"/><Relationship Id="rId404" Type="http://schemas.openxmlformats.org/officeDocument/2006/relationships/hyperlink" Target="http://torg.book-online.ru/photo_book/9733880.jpg" TargetMode="External"/><Relationship Id="rId611" Type="http://schemas.openxmlformats.org/officeDocument/2006/relationships/hyperlink" Target="http://torg.book-online.ru/photo_book/9086360.jpg" TargetMode="External"/><Relationship Id="rId1034" Type="http://schemas.openxmlformats.org/officeDocument/2006/relationships/hyperlink" Target="http://torg.book-online.ru/photo_book/7924260.jpg" TargetMode="External"/><Relationship Id="rId250" Type="http://schemas.openxmlformats.org/officeDocument/2006/relationships/hyperlink" Target="http://torg.book-online.ru/photo_book/10535510.jpg" TargetMode="External"/><Relationship Id="rId488" Type="http://schemas.openxmlformats.org/officeDocument/2006/relationships/hyperlink" Target="http://torg.book-online.ru/photo_book/9184340.jpg" TargetMode="External"/><Relationship Id="rId695" Type="http://schemas.openxmlformats.org/officeDocument/2006/relationships/hyperlink" Target="http://torg.book-online.ru/photo_book/9801230.jpg" TargetMode="External"/><Relationship Id="rId709" Type="http://schemas.openxmlformats.org/officeDocument/2006/relationships/hyperlink" Target="http://torg.book-online.ru/photo_book/10739570.jpg" TargetMode="External"/><Relationship Id="rId916" Type="http://schemas.openxmlformats.org/officeDocument/2006/relationships/hyperlink" Target="http://torg.book-online.ru/photo_book/11003020.jpg" TargetMode="External"/><Relationship Id="rId1101" Type="http://schemas.openxmlformats.org/officeDocument/2006/relationships/hyperlink" Target="http://torg.book-online.ru/photo_book/11860020.jpg" TargetMode="External"/><Relationship Id="rId45" Type="http://schemas.openxmlformats.org/officeDocument/2006/relationships/hyperlink" Target="http://torg.book-online.ru/photo_book/11463080.jpg" TargetMode="External"/><Relationship Id="rId110" Type="http://schemas.openxmlformats.org/officeDocument/2006/relationships/hyperlink" Target="http://torg.book-online.ru/photo_book/11030890.jpg" TargetMode="External"/><Relationship Id="rId348" Type="http://schemas.openxmlformats.org/officeDocument/2006/relationships/hyperlink" Target="http://torg.book-online.ru/photo_book/11612830.jpg" TargetMode="External"/><Relationship Id="rId555" Type="http://schemas.openxmlformats.org/officeDocument/2006/relationships/hyperlink" Target="http://torg.book-online.ru/photo_book/9626420.jpg" TargetMode="External"/><Relationship Id="rId762" Type="http://schemas.openxmlformats.org/officeDocument/2006/relationships/hyperlink" Target="http://torg.book-online.ru/photo_book/9589820.jpg" TargetMode="External"/><Relationship Id="rId194" Type="http://schemas.openxmlformats.org/officeDocument/2006/relationships/hyperlink" Target="http://torg.book-online.ru/photo_book/9989540.jpg" TargetMode="External"/><Relationship Id="rId208" Type="http://schemas.openxmlformats.org/officeDocument/2006/relationships/hyperlink" Target="http://torg.book-online.ru/photo_book/8483070.jpg" TargetMode="External"/><Relationship Id="rId415" Type="http://schemas.openxmlformats.org/officeDocument/2006/relationships/hyperlink" Target="http://torg.book-online.ru/photo_book/10560370.jpg" TargetMode="External"/><Relationship Id="rId622" Type="http://schemas.openxmlformats.org/officeDocument/2006/relationships/hyperlink" Target="http://torg.book-online.ru/photo_book/9972770.jpg" TargetMode="External"/><Relationship Id="rId1045" Type="http://schemas.openxmlformats.org/officeDocument/2006/relationships/hyperlink" Target="http://torg.book-online.ru/photo_book/8919070.jpg" TargetMode="External"/><Relationship Id="rId261" Type="http://schemas.openxmlformats.org/officeDocument/2006/relationships/hyperlink" Target="http://torg.book-online.ru/photo_book/9258210.jpg" TargetMode="External"/><Relationship Id="rId499" Type="http://schemas.openxmlformats.org/officeDocument/2006/relationships/hyperlink" Target="http://torg.book-online.ru/photo_book/10858430.jpg" TargetMode="External"/><Relationship Id="rId927" Type="http://schemas.openxmlformats.org/officeDocument/2006/relationships/hyperlink" Target="http://torg.book-online.ru/photo_book/8612600.jpg" TargetMode="External"/><Relationship Id="rId1112" Type="http://schemas.openxmlformats.org/officeDocument/2006/relationships/hyperlink" Target="http://torg.book-online.ru/photo_book/12027230.jpg" TargetMode="External"/><Relationship Id="rId56" Type="http://schemas.openxmlformats.org/officeDocument/2006/relationships/hyperlink" Target="http://torg.book-online.ru/photo_book/11116460.jpg" TargetMode="External"/><Relationship Id="rId359" Type="http://schemas.openxmlformats.org/officeDocument/2006/relationships/hyperlink" Target="http://torg.book-online.ru/photo_book/10511990.jpg" TargetMode="External"/><Relationship Id="rId566" Type="http://schemas.openxmlformats.org/officeDocument/2006/relationships/hyperlink" Target="http://torg.book-online.ru/photo_book/11514100.jpg" TargetMode="External"/><Relationship Id="rId773" Type="http://schemas.openxmlformats.org/officeDocument/2006/relationships/hyperlink" Target="http://torg.book-online.ru/photo_book/9194200.jpg" TargetMode="External"/><Relationship Id="rId121" Type="http://schemas.openxmlformats.org/officeDocument/2006/relationships/hyperlink" Target="http://torg.book-online.ru/photo_book/10485020.jpg" TargetMode="External"/><Relationship Id="rId219" Type="http://schemas.openxmlformats.org/officeDocument/2006/relationships/hyperlink" Target="http://torg.book-online.ru/photo_book/10292080.jpg" TargetMode="External"/><Relationship Id="rId426" Type="http://schemas.openxmlformats.org/officeDocument/2006/relationships/hyperlink" Target="http://torg.book-online.ru/photo_book/10556480.jpg" TargetMode="External"/><Relationship Id="rId633" Type="http://schemas.openxmlformats.org/officeDocument/2006/relationships/hyperlink" Target="http://torg.book-online.ru/photo_book/8819550.jpg" TargetMode="External"/><Relationship Id="rId980" Type="http://schemas.openxmlformats.org/officeDocument/2006/relationships/hyperlink" Target="http://torg.book-online.ru/photo_book/10945380.jpg" TargetMode="External"/><Relationship Id="rId1056" Type="http://schemas.openxmlformats.org/officeDocument/2006/relationships/hyperlink" Target="http://torg.book-online.ru/photo_book/11541320.jpg" TargetMode="External"/><Relationship Id="rId840" Type="http://schemas.openxmlformats.org/officeDocument/2006/relationships/hyperlink" Target="http://torg.book-online.ru/photo_book/8917380.jpg" TargetMode="External"/><Relationship Id="rId938" Type="http://schemas.openxmlformats.org/officeDocument/2006/relationships/hyperlink" Target="http://torg.book-online.ru/photo_book/10408220.jpg" TargetMode="External"/><Relationship Id="rId67" Type="http://schemas.openxmlformats.org/officeDocument/2006/relationships/hyperlink" Target="http://torg.book-online.ru/photo_book/11799090.jpg" TargetMode="External"/><Relationship Id="rId272" Type="http://schemas.openxmlformats.org/officeDocument/2006/relationships/hyperlink" Target="http://torg.book-online.ru/photo_book/9208070.jpg" TargetMode="External"/><Relationship Id="rId577" Type="http://schemas.openxmlformats.org/officeDocument/2006/relationships/hyperlink" Target="http://torg.book-online.ru/photo_book/11498510.jpg" TargetMode="External"/><Relationship Id="rId700" Type="http://schemas.openxmlformats.org/officeDocument/2006/relationships/hyperlink" Target="http://torg.book-online.ru/photo_book/9597410.jpg" TargetMode="External"/><Relationship Id="rId1123" Type="http://schemas.openxmlformats.org/officeDocument/2006/relationships/hyperlink" Target="http://torg.book-online.ru/photo_book/11565310.jpg" TargetMode="External"/><Relationship Id="rId132" Type="http://schemas.openxmlformats.org/officeDocument/2006/relationships/hyperlink" Target="http://torg.book-online.ru/photo_book/10506700.jpg" TargetMode="External"/><Relationship Id="rId784" Type="http://schemas.openxmlformats.org/officeDocument/2006/relationships/hyperlink" Target="http://torg.book-online.ru/photo_book/9560760.jpg" TargetMode="External"/><Relationship Id="rId991" Type="http://schemas.openxmlformats.org/officeDocument/2006/relationships/hyperlink" Target="http://torg.book-online.ru/photo_book/11498810.jpg" TargetMode="External"/><Relationship Id="rId1067" Type="http://schemas.openxmlformats.org/officeDocument/2006/relationships/hyperlink" Target="http://torg.book-online.ru/photo_book/11930690.jpg" TargetMode="External"/><Relationship Id="rId437" Type="http://schemas.openxmlformats.org/officeDocument/2006/relationships/hyperlink" Target="http://torg.book-online.ru/photo_book/9801690.jpg" TargetMode="External"/><Relationship Id="rId644" Type="http://schemas.openxmlformats.org/officeDocument/2006/relationships/hyperlink" Target="http://torg.book-online.ru/photo_book/11801080.jpg" TargetMode="External"/><Relationship Id="rId851" Type="http://schemas.openxmlformats.org/officeDocument/2006/relationships/hyperlink" Target="http://torg.book-online.ru/photo_book/9862210.jpg" TargetMode="External"/><Relationship Id="rId283" Type="http://schemas.openxmlformats.org/officeDocument/2006/relationships/hyperlink" Target="http://torg.book-online.ru/photo_book/10499490.jpg" TargetMode="External"/><Relationship Id="rId490" Type="http://schemas.openxmlformats.org/officeDocument/2006/relationships/hyperlink" Target="http://torg.book-online.ru/photo_book/10043470.jpg" TargetMode="External"/><Relationship Id="rId504" Type="http://schemas.openxmlformats.org/officeDocument/2006/relationships/hyperlink" Target="http://torg.book-online.ru/photo_book/11147440.jpg" TargetMode="External"/><Relationship Id="rId711" Type="http://schemas.openxmlformats.org/officeDocument/2006/relationships/hyperlink" Target="http://torg.book-online.ru/photo_book/10455270.jpg" TargetMode="External"/><Relationship Id="rId949" Type="http://schemas.openxmlformats.org/officeDocument/2006/relationships/hyperlink" Target="http://torg.book-online.ru/photo_book/10276290.jpg" TargetMode="External"/><Relationship Id="rId1134" Type="http://schemas.openxmlformats.org/officeDocument/2006/relationships/hyperlink" Target="http://torg.book-online.ru/photo_book/11541170.jpg" TargetMode="External"/><Relationship Id="rId78" Type="http://schemas.openxmlformats.org/officeDocument/2006/relationships/hyperlink" Target="http://torg.book-online.ru/photo_book/11519970.jpg" TargetMode="External"/><Relationship Id="rId143" Type="http://schemas.openxmlformats.org/officeDocument/2006/relationships/hyperlink" Target="http://torg.book-online.ru/photo_book/10535740.jpg" TargetMode="External"/><Relationship Id="rId350" Type="http://schemas.openxmlformats.org/officeDocument/2006/relationships/hyperlink" Target="http://torg.book-online.ru/photo_book/10809410.jpg" TargetMode="External"/><Relationship Id="rId588" Type="http://schemas.openxmlformats.org/officeDocument/2006/relationships/hyperlink" Target="http://torg.book-online.ru/photo_book/10440790.jpg" TargetMode="External"/><Relationship Id="rId795" Type="http://schemas.openxmlformats.org/officeDocument/2006/relationships/hyperlink" Target="http://torg.book-online.ru/photo_book/11157970.jpg" TargetMode="External"/><Relationship Id="rId809" Type="http://schemas.openxmlformats.org/officeDocument/2006/relationships/hyperlink" Target="http://torg.book-online.ru/photo_book/9950650.jpg" TargetMode="External"/><Relationship Id="rId9" Type="http://schemas.openxmlformats.org/officeDocument/2006/relationships/hyperlink" Target="http://torg.book-online.ru/photo_book/11943650.jpg" TargetMode="External"/><Relationship Id="rId210" Type="http://schemas.openxmlformats.org/officeDocument/2006/relationships/hyperlink" Target="http://torg.book-online.ru/photo_book/8852280.jpg" TargetMode="External"/><Relationship Id="rId448" Type="http://schemas.openxmlformats.org/officeDocument/2006/relationships/hyperlink" Target="http://torg.book-online.ru/photo_book/9695560.jpg" TargetMode="External"/><Relationship Id="rId655" Type="http://schemas.openxmlformats.org/officeDocument/2006/relationships/hyperlink" Target="http://torg.book-online.ru/photo_book/11018880.jpg" TargetMode="External"/><Relationship Id="rId862" Type="http://schemas.openxmlformats.org/officeDocument/2006/relationships/hyperlink" Target="http://torg.book-online.ru/photo_book/10410890.jpg" TargetMode="External"/><Relationship Id="rId1078" Type="http://schemas.openxmlformats.org/officeDocument/2006/relationships/hyperlink" Target="http://torg.book-online.ru/photo_book/11541330.jpg" TargetMode="External"/><Relationship Id="rId294" Type="http://schemas.openxmlformats.org/officeDocument/2006/relationships/hyperlink" Target="http://torg.book-online.ru/photo_book/10613790.jpg" TargetMode="External"/><Relationship Id="rId308" Type="http://schemas.openxmlformats.org/officeDocument/2006/relationships/hyperlink" Target="http://torg.book-online.ru/photo_book/9257550.jpg" TargetMode="External"/><Relationship Id="rId515" Type="http://schemas.openxmlformats.org/officeDocument/2006/relationships/hyperlink" Target="http://torg.book-online.ru/photo_book/7139070.jpg" TargetMode="External"/><Relationship Id="rId722" Type="http://schemas.openxmlformats.org/officeDocument/2006/relationships/hyperlink" Target="http://torg.book-online.ru/photo_book/9552350.jpg" TargetMode="External"/><Relationship Id="rId1145" Type="http://schemas.openxmlformats.org/officeDocument/2006/relationships/hyperlink" Target="http://torg.book-online.ru/photo_book/11575830.jpg" TargetMode="External"/><Relationship Id="rId89" Type="http://schemas.openxmlformats.org/officeDocument/2006/relationships/hyperlink" Target="http://torg.book-online.ru/photo_book/11513340.jpg" TargetMode="External"/><Relationship Id="rId154" Type="http://schemas.openxmlformats.org/officeDocument/2006/relationships/hyperlink" Target="http://torg.book-online.ru/photo_book/10166380.jpg" TargetMode="External"/><Relationship Id="rId361" Type="http://schemas.openxmlformats.org/officeDocument/2006/relationships/hyperlink" Target="http://torg.book-online.ru/photo_book/8440830.jpg" TargetMode="External"/><Relationship Id="rId599" Type="http://schemas.openxmlformats.org/officeDocument/2006/relationships/hyperlink" Target="http://torg.book-online.ru/photo_book/10413230.jpg" TargetMode="External"/><Relationship Id="rId1005" Type="http://schemas.openxmlformats.org/officeDocument/2006/relationships/hyperlink" Target="http://torg.book-online.ru/photo_book/11742560.jpg" TargetMode="External"/><Relationship Id="rId459" Type="http://schemas.openxmlformats.org/officeDocument/2006/relationships/hyperlink" Target="http://torg.book-online.ru/photo_book/11536080.jpg" TargetMode="External"/><Relationship Id="rId666" Type="http://schemas.openxmlformats.org/officeDocument/2006/relationships/hyperlink" Target="http://torg.book-online.ru/photo_book/9636200.jpg" TargetMode="External"/><Relationship Id="rId873" Type="http://schemas.openxmlformats.org/officeDocument/2006/relationships/hyperlink" Target="http://torg.book-online.ru/photo_book/11532190.jpg" TargetMode="External"/><Relationship Id="rId1089" Type="http://schemas.openxmlformats.org/officeDocument/2006/relationships/hyperlink" Target="http://torg.book-online.ru/photo_book/12039030.jpg" TargetMode="External"/><Relationship Id="rId16" Type="http://schemas.openxmlformats.org/officeDocument/2006/relationships/hyperlink" Target="http://torg.book-online.ru/photo_book/11664290.jpg" TargetMode="External"/><Relationship Id="rId221" Type="http://schemas.openxmlformats.org/officeDocument/2006/relationships/hyperlink" Target="http://torg.book-online.ru/photo_book/10512010.jpg" TargetMode="External"/><Relationship Id="rId319" Type="http://schemas.openxmlformats.org/officeDocument/2006/relationships/hyperlink" Target="http://torg.book-online.ru/photo_book/8601420.jpg" TargetMode="External"/><Relationship Id="rId526" Type="http://schemas.openxmlformats.org/officeDocument/2006/relationships/hyperlink" Target="http://torg.book-online.ru/photo_book/11066360.jpg" TargetMode="External"/><Relationship Id="rId1156" Type="http://schemas.openxmlformats.org/officeDocument/2006/relationships/hyperlink" Target="http://torg.book-online.ru/photo_book/11848730.jpg" TargetMode="External"/><Relationship Id="rId733" Type="http://schemas.openxmlformats.org/officeDocument/2006/relationships/hyperlink" Target="http://torg.book-online.ru/photo_book/11791350.jpg" TargetMode="External"/><Relationship Id="rId940" Type="http://schemas.openxmlformats.org/officeDocument/2006/relationships/hyperlink" Target="http://torg.book-online.ru/photo_book/10292370.jpg" TargetMode="External"/><Relationship Id="rId1016" Type="http://schemas.openxmlformats.org/officeDocument/2006/relationships/hyperlink" Target="http://torg.book-online.ru/photo_book/10362120.jpg" TargetMode="External"/><Relationship Id="rId165" Type="http://schemas.openxmlformats.org/officeDocument/2006/relationships/hyperlink" Target="http://torg.book-online.ru/photo_book/11664310.jpg" TargetMode="External"/><Relationship Id="rId372" Type="http://schemas.openxmlformats.org/officeDocument/2006/relationships/hyperlink" Target="http://torg.book-online.ru/photo_book/6809990.jpg" TargetMode="External"/><Relationship Id="rId677" Type="http://schemas.openxmlformats.org/officeDocument/2006/relationships/hyperlink" Target="http://torg.book-online.ru/photo_book/9531520.jpg" TargetMode="External"/><Relationship Id="rId800" Type="http://schemas.openxmlformats.org/officeDocument/2006/relationships/hyperlink" Target="http://torg.book-online.ru/photo_book/9349250.jpg" TargetMode="External"/><Relationship Id="rId232" Type="http://schemas.openxmlformats.org/officeDocument/2006/relationships/hyperlink" Target="http://torg.book-online.ru/photo_book/4528530.jpg" TargetMode="External"/><Relationship Id="rId884" Type="http://schemas.openxmlformats.org/officeDocument/2006/relationships/hyperlink" Target="http://torg.book-online.ru/photo_book/11028400.jpg" TargetMode="External"/><Relationship Id="rId27" Type="http://schemas.openxmlformats.org/officeDocument/2006/relationships/hyperlink" Target="http://torg.book-online.ru/photo_book/11392320.jpg" TargetMode="External"/><Relationship Id="rId537" Type="http://schemas.openxmlformats.org/officeDocument/2006/relationships/hyperlink" Target="http://torg.book-online.ru/photo_book/8943040.jpg" TargetMode="External"/><Relationship Id="rId744" Type="http://schemas.openxmlformats.org/officeDocument/2006/relationships/hyperlink" Target="http://torg.book-online.ru/photo_book/11782550.jpg" TargetMode="External"/><Relationship Id="rId951" Type="http://schemas.openxmlformats.org/officeDocument/2006/relationships/hyperlink" Target="http://torg.book-online.ru/photo_book/8161430.jpg" TargetMode="External"/><Relationship Id="rId1167" Type="http://schemas.openxmlformats.org/officeDocument/2006/relationships/hyperlink" Target="http://torg.book-online.ru/photo_book/11541380.jpg" TargetMode="External"/><Relationship Id="rId80" Type="http://schemas.openxmlformats.org/officeDocument/2006/relationships/hyperlink" Target="http://torg.book-online.ru/photo_book/11964980.jpg" TargetMode="External"/><Relationship Id="rId176" Type="http://schemas.openxmlformats.org/officeDocument/2006/relationships/hyperlink" Target="http://torg.book-online.ru/photo_book/9745130.jpg" TargetMode="External"/><Relationship Id="rId383" Type="http://schemas.openxmlformats.org/officeDocument/2006/relationships/hyperlink" Target="http://torg.book-online.ru/photo_book/9686560.jpg" TargetMode="External"/><Relationship Id="rId590" Type="http://schemas.openxmlformats.org/officeDocument/2006/relationships/hyperlink" Target="http://torg.book-online.ru/photo_book/10440770.jpg" TargetMode="External"/><Relationship Id="rId604" Type="http://schemas.openxmlformats.org/officeDocument/2006/relationships/hyperlink" Target="http://torg.book-online.ru/photo_book/9796810.jpg" TargetMode="External"/><Relationship Id="rId811" Type="http://schemas.openxmlformats.org/officeDocument/2006/relationships/hyperlink" Target="http://torg.book-online.ru/photo_book/9437230.jpg" TargetMode="External"/><Relationship Id="rId1027" Type="http://schemas.openxmlformats.org/officeDocument/2006/relationships/hyperlink" Target="http://torg.book-online.ru/photo_book/9706720.jpg" TargetMode="External"/><Relationship Id="rId243" Type="http://schemas.openxmlformats.org/officeDocument/2006/relationships/hyperlink" Target="http://torg.book-online.ru/photo_book/9399680.jpg" TargetMode="External"/><Relationship Id="rId450" Type="http://schemas.openxmlformats.org/officeDocument/2006/relationships/hyperlink" Target="http://torg.book-online.ru/photo_book/6804840.jpg" TargetMode="External"/><Relationship Id="rId688" Type="http://schemas.openxmlformats.org/officeDocument/2006/relationships/hyperlink" Target="http://torg.book-online.ru/photo_book/11107810.jpg" TargetMode="External"/><Relationship Id="rId895" Type="http://schemas.openxmlformats.org/officeDocument/2006/relationships/hyperlink" Target="http://torg.book-online.ru/photo_book/11436980.jpg" TargetMode="External"/><Relationship Id="rId909" Type="http://schemas.openxmlformats.org/officeDocument/2006/relationships/hyperlink" Target="http://torg.book-online.ru/photo_book/11288880.jpg" TargetMode="External"/><Relationship Id="rId1080" Type="http://schemas.openxmlformats.org/officeDocument/2006/relationships/hyperlink" Target="http://torg.book-online.ru/photo_book/11831250.jpg" TargetMode="External"/><Relationship Id="rId38" Type="http://schemas.openxmlformats.org/officeDocument/2006/relationships/hyperlink" Target="http://torg.book-online.ru/photo_book/11862610.jpg" TargetMode="External"/><Relationship Id="rId103" Type="http://schemas.openxmlformats.org/officeDocument/2006/relationships/hyperlink" Target="http://torg.book-online.ru/photo_book/9561550.jpg" TargetMode="External"/><Relationship Id="rId310" Type="http://schemas.openxmlformats.org/officeDocument/2006/relationships/hyperlink" Target="http://torg.book-online.ru/photo_book/9675710.jpg" TargetMode="External"/><Relationship Id="rId548" Type="http://schemas.openxmlformats.org/officeDocument/2006/relationships/hyperlink" Target="http://torg.book-online.ru/photo_book/9537140.jpg" TargetMode="External"/><Relationship Id="rId755" Type="http://schemas.openxmlformats.org/officeDocument/2006/relationships/hyperlink" Target="http://torg.book-online.ru/photo_book/9479310.jpg" TargetMode="External"/><Relationship Id="rId962" Type="http://schemas.openxmlformats.org/officeDocument/2006/relationships/hyperlink" Target="http://torg.book-online.ru/photo_book/7001210.jpg" TargetMode="External"/><Relationship Id="rId91" Type="http://schemas.openxmlformats.org/officeDocument/2006/relationships/hyperlink" Target="http://torg.book-online.ru/photo_book/11664250.jpg" TargetMode="External"/><Relationship Id="rId187" Type="http://schemas.openxmlformats.org/officeDocument/2006/relationships/hyperlink" Target="http://torg.book-online.ru/photo_book/9648480.jpg" TargetMode="External"/><Relationship Id="rId394" Type="http://schemas.openxmlformats.org/officeDocument/2006/relationships/hyperlink" Target="http://torg.book-online.ru/photo_book/9792210.jpg" TargetMode="External"/><Relationship Id="rId408" Type="http://schemas.openxmlformats.org/officeDocument/2006/relationships/hyperlink" Target="http://torg.book-online.ru/photo_book/10845840.jpg" TargetMode="External"/><Relationship Id="rId615" Type="http://schemas.openxmlformats.org/officeDocument/2006/relationships/hyperlink" Target="http://torg.book-online.ru/photo_book/9689840.jpg" TargetMode="External"/><Relationship Id="rId822" Type="http://schemas.openxmlformats.org/officeDocument/2006/relationships/hyperlink" Target="http://torg.book-online.ru/photo_book/10416050.jpg" TargetMode="External"/><Relationship Id="rId1038" Type="http://schemas.openxmlformats.org/officeDocument/2006/relationships/hyperlink" Target="http://torg.book-online.ru/photo_book/8111480.jpg" TargetMode="External"/><Relationship Id="rId254" Type="http://schemas.openxmlformats.org/officeDocument/2006/relationships/hyperlink" Target="http://torg.book-online.ru/photo_book/9715140.jpg" TargetMode="External"/><Relationship Id="rId699" Type="http://schemas.openxmlformats.org/officeDocument/2006/relationships/hyperlink" Target="http://torg.book-online.ru/photo_book/11946570.jpg" TargetMode="External"/><Relationship Id="rId1091" Type="http://schemas.openxmlformats.org/officeDocument/2006/relationships/hyperlink" Target="http://torg.book-online.ru/photo_book/11541500.jpg" TargetMode="External"/><Relationship Id="rId1105" Type="http://schemas.openxmlformats.org/officeDocument/2006/relationships/hyperlink" Target="http://torg.book-online.ru/photo_book/11541040.jpg" TargetMode="External"/><Relationship Id="rId49" Type="http://schemas.openxmlformats.org/officeDocument/2006/relationships/hyperlink" Target="http://torg.book-online.ru/photo_book/11742370.jpg" TargetMode="External"/><Relationship Id="rId114" Type="http://schemas.openxmlformats.org/officeDocument/2006/relationships/hyperlink" Target="http://torg.book-online.ru/photo_book/11030880.jpg" TargetMode="External"/><Relationship Id="rId461" Type="http://schemas.openxmlformats.org/officeDocument/2006/relationships/hyperlink" Target="http://torg.book-online.ru/photo_book/9812100.jpg" TargetMode="External"/><Relationship Id="rId559" Type="http://schemas.openxmlformats.org/officeDocument/2006/relationships/hyperlink" Target="http://torg.book-online.ru/photo_book/11865940.jpg" TargetMode="External"/><Relationship Id="rId766" Type="http://schemas.openxmlformats.org/officeDocument/2006/relationships/hyperlink" Target="http://torg.book-online.ru/photo_book/9051780.jpg" TargetMode="External"/><Relationship Id="rId198" Type="http://schemas.openxmlformats.org/officeDocument/2006/relationships/hyperlink" Target="http://torg.book-online.ru/photo_book/9992840.jpg" TargetMode="External"/><Relationship Id="rId321" Type="http://schemas.openxmlformats.org/officeDocument/2006/relationships/hyperlink" Target="http://torg.book-online.ru/photo_book/9598890.jpg" TargetMode="External"/><Relationship Id="rId419" Type="http://schemas.openxmlformats.org/officeDocument/2006/relationships/hyperlink" Target="http://torg.book-online.ru/photo_book/10631020.jpg" TargetMode="External"/><Relationship Id="rId626" Type="http://schemas.openxmlformats.org/officeDocument/2006/relationships/hyperlink" Target="http://torg.book-online.ru/photo_book/8727950.jpg" TargetMode="External"/><Relationship Id="rId973" Type="http://schemas.openxmlformats.org/officeDocument/2006/relationships/hyperlink" Target="http://torg.book-online.ru/photo_book/11613220.jpg" TargetMode="External"/><Relationship Id="rId1049" Type="http://schemas.openxmlformats.org/officeDocument/2006/relationships/hyperlink" Target="http://torg.book-online.ru/photo_book/12095200.jpg" TargetMode="External"/><Relationship Id="rId833" Type="http://schemas.openxmlformats.org/officeDocument/2006/relationships/hyperlink" Target="http://torg.book-online.ru/photo_book/8858980.jpg" TargetMode="External"/><Relationship Id="rId1116" Type="http://schemas.openxmlformats.org/officeDocument/2006/relationships/hyperlink" Target="http://torg.book-online.ru/photo_book/11539530.jpg" TargetMode="External"/><Relationship Id="rId265" Type="http://schemas.openxmlformats.org/officeDocument/2006/relationships/hyperlink" Target="http://torg.book-online.ru/photo_book/10943980.jpg" TargetMode="External"/><Relationship Id="rId472" Type="http://schemas.openxmlformats.org/officeDocument/2006/relationships/hyperlink" Target="http://torg.book-online.ru/photo_book/10041650.jpg" TargetMode="External"/><Relationship Id="rId900" Type="http://schemas.openxmlformats.org/officeDocument/2006/relationships/hyperlink" Target="http://torg.book-online.ru/photo_book/11437130.jpg" TargetMode="External"/><Relationship Id="rId125" Type="http://schemas.openxmlformats.org/officeDocument/2006/relationships/hyperlink" Target="http://torg.book-online.ru/photo_book/10473730.jpg" TargetMode="External"/><Relationship Id="rId332" Type="http://schemas.openxmlformats.org/officeDocument/2006/relationships/hyperlink" Target="http://torg.book-online.ru/photo_book/10881720.jpg" TargetMode="External"/><Relationship Id="rId777" Type="http://schemas.openxmlformats.org/officeDocument/2006/relationships/hyperlink" Target="http://torg.book-online.ru/photo_book/9733320.jpg" TargetMode="External"/><Relationship Id="rId984" Type="http://schemas.openxmlformats.org/officeDocument/2006/relationships/hyperlink" Target="http://torg.book-online.ru/photo_book/11116470.jpg" TargetMode="External"/><Relationship Id="rId637" Type="http://schemas.openxmlformats.org/officeDocument/2006/relationships/hyperlink" Target="http://torg.book-online.ru/photo_book/8777560.jpg" TargetMode="External"/><Relationship Id="rId844" Type="http://schemas.openxmlformats.org/officeDocument/2006/relationships/hyperlink" Target="http://torg.book-online.ru/photo_book/11496610.jpg" TargetMode="External"/><Relationship Id="rId276" Type="http://schemas.openxmlformats.org/officeDocument/2006/relationships/hyperlink" Target="http://torg.book-online.ru/photo_book/9133360.jpg" TargetMode="External"/><Relationship Id="rId483" Type="http://schemas.openxmlformats.org/officeDocument/2006/relationships/hyperlink" Target="http://torg.book-online.ru/photo_book/8700320.jpg" TargetMode="External"/><Relationship Id="rId690" Type="http://schemas.openxmlformats.org/officeDocument/2006/relationships/hyperlink" Target="http://torg.book-online.ru/photo_book/10409580.jpg" TargetMode="External"/><Relationship Id="rId704" Type="http://schemas.openxmlformats.org/officeDocument/2006/relationships/hyperlink" Target="http://torg.book-online.ru/photo_book/10034160.jpg" TargetMode="External"/><Relationship Id="rId911" Type="http://schemas.openxmlformats.org/officeDocument/2006/relationships/hyperlink" Target="http://torg.book-online.ru/photo_book/10509560.jpg" TargetMode="External"/><Relationship Id="rId1127" Type="http://schemas.openxmlformats.org/officeDocument/2006/relationships/hyperlink" Target="http://torg.book-online.ru/photo_book/11541210.jpg" TargetMode="External"/><Relationship Id="rId40" Type="http://schemas.openxmlformats.org/officeDocument/2006/relationships/hyperlink" Target="http://torg.book-online.ru/photo_book/11791740.jpg" TargetMode="External"/><Relationship Id="rId136" Type="http://schemas.openxmlformats.org/officeDocument/2006/relationships/hyperlink" Target="http://torg.book-online.ru/photo_book/10409380.jpg" TargetMode="External"/><Relationship Id="rId343" Type="http://schemas.openxmlformats.org/officeDocument/2006/relationships/hyperlink" Target="http://torg.book-online.ru/photo_book/11664050.jpg" TargetMode="External"/><Relationship Id="rId550" Type="http://schemas.openxmlformats.org/officeDocument/2006/relationships/hyperlink" Target="http://torg.book-online.ru/photo_book/11260900.jpg" TargetMode="External"/><Relationship Id="rId788" Type="http://schemas.openxmlformats.org/officeDocument/2006/relationships/hyperlink" Target="http://torg.book-online.ru/photo_book/9594410.jpg" TargetMode="External"/><Relationship Id="rId995" Type="http://schemas.openxmlformats.org/officeDocument/2006/relationships/hyperlink" Target="http://torg.book-online.ru/photo_book/11708610.jpg" TargetMode="External"/><Relationship Id="rId203" Type="http://schemas.openxmlformats.org/officeDocument/2006/relationships/hyperlink" Target="http://torg.book-online.ru/photo_book/9794380.jpg" TargetMode="External"/><Relationship Id="rId648" Type="http://schemas.openxmlformats.org/officeDocument/2006/relationships/hyperlink" Target="http://torg.book-online.ru/photo_book/8897460.jpg" TargetMode="External"/><Relationship Id="rId855" Type="http://schemas.openxmlformats.org/officeDocument/2006/relationships/hyperlink" Target="http://torg.book-online.ru/photo_book/10043460.jpg" TargetMode="External"/><Relationship Id="rId1040" Type="http://schemas.openxmlformats.org/officeDocument/2006/relationships/hyperlink" Target="http://torg.book-online.ru/photo_book/9455040.jpg" TargetMode="External"/><Relationship Id="rId287" Type="http://schemas.openxmlformats.org/officeDocument/2006/relationships/hyperlink" Target="http://torg.book-online.ru/photo_book/9112590.jpg" TargetMode="External"/><Relationship Id="rId410" Type="http://schemas.openxmlformats.org/officeDocument/2006/relationships/hyperlink" Target="http://torg.book-online.ru/photo_book/9672630.jpg" TargetMode="External"/><Relationship Id="rId494" Type="http://schemas.openxmlformats.org/officeDocument/2006/relationships/hyperlink" Target="http://torg.book-online.ru/photo_book/8859270.jpg" TargetMode="External"/><Relationship Id="rId508" Type="http://schemas.openxmlformats.org/officeDocument/2006/relationships/hyperlink" Target="http://torg.book-online.ru/photo_book/11502880.jpg" TargetMode="External"/><Relationship Id="rId715" Type="http://schemas.openxmlformats.org/officeDocument/2006/relationships/hyperlink" Target="http://torg.book-online.ru/photo_book/10777900.jpg" TargetMode="External"/><Relationship Id="rId922" Type="http://schemas.openxmlformats.org/officeDocument/2006/relationships/hyperlink" Target="http://torg.book-online.ru/photo_book/7349150.jpg" TargetMode="External"/><Relationship Id="rId1138" Type="http://schemas.openxmlformats.org/officeDocument/2006/relationships/hyperlink" Target="http://torg.book-online.ru/photo_book/11667500.jpg" TargetMode="External"/><Relationship Id="rId147" Type="http://schemas.openxmlformats.org/officeDocument/2006/relationships/hyperlink" Target="http://torg.book-online.ru/photo_book/9861510.jpg" TargetMode="External"/><Relationship Id="rId354" Type="http://schemas.openxmlformats.org/officeDocument/2006/relationships/hyperlink" Target="http://torg.book-online.ru/photo_book/9847360.jpg" TargetMode="External"/><Relationship Id="rId799" Type="http://schemas.openxmlformats.org/officeDocument/2006/relationships/hyperlink" Target="http://torg.book-online.ru/photo_book/11421040.jpg" TargetMode="External"/><Relationship Id="rId51" Type="http://schemas.openxmlformats.org/officeDocument/2006/relationships/hyperlink" Target="http://torg.book-online.ru/photo_book/11815780.jpg" TargetMode="External"/><Relationship Id="rId561" Type="http://schemas.openxmlformats.org/officeDocument/2006/relationships/hyperlink" Target="http://torg.book-online.ru/photo_book/11451040.jpg" TargetMode="External"/><Relationship Id="rId659" Type="http://schemas.openxmlformats.org/officeDocument/2006/relationships/hyperlink" Target="http://torg.book-online.ru/photo_book/8805590.jpg" TargetMode="External"/><Relationship Id="rId866" Type="http://schemas.openxmlformats.org/officeDocument/2006/relationships/hyperlink" Target="http://torg.book-online.ru/photo_book/11027340.jpg" TargetMode="External"/><Relationship Id="rId214" Type="http://schemas.openxmlformats.org/officeDocument/2006/relationships/hyperlink" Target="http://torg.book-online.ru/photo_book/10409370.jpg" TargetMode="External"/><Relationship Id="rId298" Type="http://schemas.openxmlformats.org/officeDocument/2006/relationships/hyperlink" Target="http://torg.book-online.ru/photo_book/10290610.jpg" TargetMode="External"/><Relationship Id="rId421" Type="http://schemas.openxmlformats.org/officeDocument/2006/relationships/hyperlink" Target="http://torg.book-online.ru/photo_book/10021680.jpg" TargetMode="External"/><Relationship Id="rId519" Type="http://schemas.openxmlformats.org/officeDocument/2006/relationships/hyperlink" Target="http://torg.book-online.ru/photo_book/11148920.jpg" TargetMode="External"/><Relationship Id="rId1051" Type="http://schemas.openxmlformats.org/officeDocument/2006/relationships/hyperlink" Target="http://torg.book-online.ru/photo_book/11954500.jpg" TargetMode="External"/><Relationship Id="rId1149" Type="http://schemas.openxmlformats.org/officeDocument/2006/relationships/hyperlink" Target="http://torg.book-online.ru/photo_book/12026990.jpg" TargetMode="External"/><Relationship Id="rId158" Type="http://schemas.openxmlformats.org/officeDocument/2006/relationships/hyperlink" Target="http://torg.book-online.ru/photo_book/9972730.jpg" TargetMode="External"/><Relationship Id="rId726" Type="http://schemas.openxmlformats.org/officeDocument/2006/relationships/hyperlink" Target="http://torg.book-online.ru/photo_book/10726090.jpg" TargetMode="External"/><Relationship Id="rId933" Type="http://schemas.openxmlformats.org/officeDocument/2006/relationships/hyperlink" Target="http://torg.book-online.ru/photo_book/10485060.jpg" TargetMode="External"/><Relationship Id="rId1009" Type="http://schemas.openxmlformats.org/officeDocument/2006/relationships/hyperlink" Target="http://torg.book-online.ru/photo_book/10209580.jpg" TargetMode="External"/><Relationship Id="rId62" Type="http://schemas.openxmlformats.org/officeDocument/2006/relationships/hyperlink" Target="http://torg.book-online.ru/photo_book/11680450.jpg" TargetMode="External"/><Relationship Id="rId365" Type="http://schemas.openxmlformats.org/officeDocument/2006/relationships/hyperlink" Target="http://torg.book-online.ru/photo_book/11502990.jpg" TargetMode="External"/><Relationship Id="rId572" Type="http://schemas.openxmlformats.org/officeDocument/2006/relationships/hyperlink" Target="http://torg.book-online.ru/photo_book/10411710.jpg" TargetMode="External"/><Relationship Id="rId225" Type="http://schemas.openxmlformats.org/officeDocument/2006/relationships/hyperlink" Target="http://torg.book-online.ru/photo_book/10461640.jpg" TargetMode="External"/><Relationship Id="rId432" Type="http://schemas.openxmlformats.org/officeDocument/2006/relationships/hyperlink" Target="http://torg.book-online.ru/photo_book/11947210.jpg" TargetMode="External"/><Relationship Id="rId877" Type="http://schemas.openxmlformats.org/officeDocument/2006/relationships/hyperlink" Target="http://torg.book-online.ru/photo_book/11897880.jpg" TargetMode="External"/><Relationship Id="rId1062" Type="http://schemas.openxmlformats.org/officeDocument/2006/relationships/hyperlink" Target="http://torg.book-online.ru/photo_book/11708580.jpg" TargetMode="External"/><Relationship Id="rId737" Type="http://schemas.openxmlformats.org/officeDocument/2006/relationships/hyperlink" Target="http://torg.book-online.ru/photo_book/11540410.jpg" TargetMode="External"/><Relationship Id="rId944" Type="http://schemas.openxmlformats.org/officeDocument/2006/relationships/hyperlink" Target="http://torg.book-online.ru/photo_book/10096280.jpg" TargetMode="External"/><Relationship Id="rId73" Type="http://schemas.openxmlformats.org/officeDocument/2006/relationships/hyperlink" Target="http://torg.book-online.ru/photo_book/11798480.jpg" TargetMode="External"/><Relationship Id="rId169" Type="http://schemas.openxmlformats.org/officeDocument/2006/relationships/hyperlink" Target="http://torg.book-online.ru/photo_book/11663950.jpg" TargetMode="External"/><Relationship Id="rId376" Type="http://schemas.openxmlformats.org/officeDocument/2006/relationships/hyperlink" Target="http://torg.book-online.ru/photo_book/8567860.jpg" TargetMode="External"/><Relationship Id="rId583" Type="http://schemas.openxmlformats.org/officeDocument/2006/relationships/hyperlink" Target="http://torg.book-online.ru/photo_book/9744970.jpg" TargetMode="External"/><Relationship Id="rId790" Type="http://schemas.openxmlformats.org/officeDocument/2006/relationships/hyperlink" Target="http://torg.book-online.ru/photo_book/10168880.jpg" TargetMode="External"/><Relationship Id="rId804" Type="http://schemas.openxmlformats.org/officeDocument/2006/relationships/hyperlink" Target="http://torg.book-online.ru/photo_book/11436410.jpg" TargetMode="External"/><Relationship Id="rId4" Type="http://schemas.openxmlformats.org/officeDocument/2006/relationships/hyperlink" Target="http://torg.book-online.ru/photo_book/12054140.jpg" TargetMode="External"/><Relationship Id="rId236" Type="http://schemas.openxmlformats.org/officeDocument/2006/relationships/hyperlink" Target="http://torg.book-online.ru/photo_book/10499720.jpg" TargetMode="External"/><Relationship Id="rId443" Type="http://schemas.openxmlformats.org/officeDocument/2006/relationships/hyperlink" Target="http://torg.book-online.ru/photo_book/9575050.jpg" TargetMode="External"/><Relationship Id="rId650" Type="http://schemas.openxmlformats.org/officeDocument/2006/relationships/hyperlink" Target="http://torg.book-online.ru/photo_book/9728970.jpg" TargetMode="External"/><Relationship Id="rId888" Type="http://schemas.openxmlformats.org/officeDocument/2006/relationships/hyperlink" Target="http://torg.book-online.ru/photo_book/11436730.jpg" TargetMode="External"/><Relationship Id="rId1073" Type="http://schemas.openxmlformats.org/officeDocument/2006/relationships/hyperlink" Target="http://torg.book-online.ru/photo_book/11751170.jpg" TargetMode="External"/><Relationship Id="rId303" Type="http://schemas.openxmlformats.org/officeDocument/2006/relationships/hyperlink" Target="http://torg.book-online.ru/photo_book/12071100.jpg" TargetMode="External"/><Relationship Id="rId748" Type="http://schemas.openxmlformats.org/officeDocument/2006/relationships/hyperlink" Target="http://torg.book-online.ru/photo_book/11602530.jpg" TargetMode="External"/><Relationship Id="rId955" Type="http://schemas.openxmlformats.org/officeDocument/2006/relationships/hyperlink" Target="http://torg.book-online.ru/photo_book/9980870.jpg" TargetMode="External"/><Relationship Id="rId1140" Type="http://schemas.openxmlformats.org/officeDocument/2006/relationships/hyperlink" Target="http://torg.book-online.ru/photo_book/11541370.jpg" TargetMode="External"/><Relationship Id="rId84" Type="http://schemas.openxmlformats.org/officeDocument/2006/relationships/hyperlink" Target="http://torg.book-online.ru/photo_book/11536120.jpg" TargetMode="External"/><Relationship Id="rId387" Type="http://schemas.openxmlformats.org/officeDocument/2006/relationships/hyperlink" Target="http://torg.book-online.ru/photo_book/9688070.jpg" TargetMode="External"/><Relationship Id="rId510" Type="http://schemas.openxmlformats.org/officeDocument/2006/relationships/hyperlink" Target="http://torg.book-online.ru/photo_book/11101930.jpg" TargetMode="External"/><Relationship Id="rId594" Type="http://schemas.openxmlformats.org/officeDocument/2006/relationships/hyperlink" Target="http://torg.book-online.ru/photo_book/11498430.jpg" TargetMode="External"/><Relationship Id="rId608" Type="http://schemas.openxmlformats.org/officeDocument/2006/relationships/hyperlink" Target="http://torg.book-online.ru/photo_book/11498580.jpg" TargetMode="External"/><Relationship Id="rId815" Type="http://schemas.openxmlformats.org/officeDocument/2006/relationships/hyperlink" Target="http://torg.book-online.ru/photo_book/9243670.jpg" TargetMode="External"/><Relationship Id="rId247" Type="http://schemas.openxmlformats.org/officeDocument/2006/relationships/hyperlink" Target="http://torg.book-online.ru/photo_book/9708640.jpg" TargetMode="External"/><Relationship Id="rId899" Type="http://schemas.openxmlformats.org/officeDocument/2006/relationships/hyperlink" Target="http://torg.book-online.ru/photo_book/11436610.jpg" TargetMode="External"/><Relationship Id="rId1000" Type="http://schemas.openxmlformats.org/officeDocument/2006/relationships/hyperlink" Target="http://torg.book-online.ru/photo_book/11641960.jpg" TargetMode="External"/><Relationship Id="rId1084" Type="http://schemas.openxmlformats.org/officeDocument/2006/relationships/hyperlink" Target="http://torg.book-online.ru/photo_book/11779550.jpg" TargetMode="External"/><Relationship Id="rId107" Type="http://schemas.openxmlformats.org/officeDocument/2006/relationships/hyperlink" Target="http://torg.book-online.ru/photo_book/9628990.jpg" TargetMode="External"/><Relationship Id="rId454" Type="http://schemas.openxmlformats.org/officeDocument/2006/relationships/hyperlink" Target="http://torg.book-online.ru/photo_book/9642140.jpg" TargetMode="External"/><Relationship Id="rId661" Type="http://schemas.openxmlformats.org/officeDocument/2006/relationships/hyperlink" Target="http://torg.book-online.ru/photo_book/9861000.jpg" TargetMode="External"/><Relationship Id="rId759" Type="http://schemas.openxmlformats.org/officeDocument/2006/relationships/hyperlink" Target="http://torg.book-online.ru/photo_book/6807900.jpg" TargetMode="External"/><Relationship Id="rId966" Type="http://schemas.openxmlformats.org/officeDocument/2006/relationships/hyperlink" Target="http://torg.book-online.ru/photo_book/911420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83"/>
  <sheetViews>
    <sheetView tabSelected="1" workbookViewId="0"/>
  </sheetViews>
  <sheetFormatPr defaultRowHeight="15" x14ac:dyDescent="0.25"/>
  <cols>
    <col min="2" max="2" width="1.7109375" customWidth="1"/>
    <col min="3" max="3" width="8" customWidth="1"/>
    <col min="4" max="4" width="29.28515625" customWidth="1"/>
    <col min="5" max="5" width="32.85546875" customWidth="1"/>
    <col min="9" max="9" width="5" customWidth="1"/>
    <col min="10" max="12" width="15.7109375" customWidth="1"/>
    <col min="13" max="13" width="4.28515625" customWidth="1"/>
    <col min="14" max="15" width="6.42578125" customWidth="1"/>
    <col min="16" max="16" width="14.5703125" customWidth="1"/>
    <col min="20" max="22" width="9.28515625" bestFit="1" customWidth="1"/>
    <col min="27" max="27" width="11.28515625" bestFit="1" customWidth="1"/>
    <col min="33" max="33" width="10.140625" bestFit="1" customWidth="1"/>
  </cols>
  <sheetData>
    <row r="1" spans="1:34" ht="15.75" x14ac:dyDescent="0.25">
      <c r="A1" s="3"/>
      <c r="B1" s="3"/>
      <c r="C1" s="3"/>
      <c r="D1" s="3"/>
      <c r="E1" s="3"/>
      <c r="F1" s="3"/>
      <c r="G1" s="4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4" x14ac:dyDescent="0.25">
      <c r="C2" s="2" t="s">
        <v>0</v>
      </c>
      <c r="O2" s="6" t="s">
        <v>5</v>
      </c>
      <c r="P2" s="9">
        <f>SUMPRODUCT($P$6:$P$1183,$Q$6:$Q$1183)</f>
        <v>0</v>
      </c>
    </row>
    <row r="3" spans="1:34" x14ac:dyDescent="0.25">
      <c r="C3" s="2" t="s">
        <v>1</v>
      </c>
      <c r="E3" s="5" t="s">
        <v>4</v>
      </c>
      <c r="F3" s="10">
        <v>0</v>
      </c>
      <c r="O3" s="6" t="s">
        <v>6</v>
      </c>
    </row>
    <row r="4" spans="1:34" x14ac:dyDescent="0.25">
      <c r="C4" s="2" t="s">
        <v>2</v>
      </c>
      <c r="O4" s="7" t="s">
        <v>7</v>
      </c>
    </row>
    <row r="5" spans="1:34" s="1" customFormat="1" ht="11.25" x14ac:dyDescent="0.2">
      <c r="A5" s="11" t="s">
        <v>8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1" t="s">
        <v>18</v>
      </c>
      <c r="L5" s="11" t="s">
        <v>19</v>
      </c>
      <c r="M5" s="11" t="s">
        <v>20</v>
      </c>
      <c r="N5" s="11" t="s">
        <v>21</v>
      </c>
      <c r="O5" s="11" t="s">
        <v>22</v>
      </c>
      <c r="P5" s="11" t="s">
        <v>23</v>
      </c>
      <c r="Q5" s="11" t="s">
        <v>24</v>
      </c>
      <c r="R5" s="11" t="s">
        <v>25</v>
      </c>
      <c r="S5" s="11" t="s">
        <v>26</v>
      </c>
      <c r="T5" s="11" t="s">
        <v>27</v>
      </c>
      <c r="U5" s="11" t="s">
        <v>28</v>
      </c>
      <c r="V5" s="11" t="s">
        <v>29</v>
      </c>
      <c r="W5" s="11" t="s">
        <v>30</v>
      </c>
      <c r="X5" s="11" t="s">
        <v>31</v>
      </c>
      <c r="Y5" s="11" t="s">
        <v>32</v>
      </c>
      <c r="Z5" s="11" t="s">
        <v>33</v>
      </c>
      <c r="AA5" s="11" t="s">
        <v>34</v>
      </c>
      <c r="AB5" s="11" t="s">
        <v>35</v>
      </c>
      <c r="AC5" s="11" t="s">
        <v>36</v>
      </c>
      <c r="AD5" s="11" t="s">
        <v>37</v>
      </c>
      <c r="AE5" s="11" t="s">
        <v>38</v>
      </c>
      <c r="AF5" s="11" t="s">
        <v>39</v>
      </c>
      <c r="AG5" s="11" t="s">
        <v>40</v>
      </c>
      <c r="AH5" s="11" t="s">
        <v>41</v>
      </c>
    </row>
    <row r="6" spans="1:34" s="16" customFormat="1" ht="18" x14ac:dyDescent="0.25">
      <c r="B6" s="16" t="s">
        <v>6954</v>
      </c>
      <c r="O6" s="22"/>
      <c r="T6" s="22"/>
    </row>
    <row r="7" spans="1:34" s="1" customFormat="1" x14ac:dyDescent="0.25">
      <c r="C7" s="1" t="s">
        <v>42</v>
      </c>
      <c r="E7" s="1" t="s">
        <v>43</v>
      </c>
      <c r="F7" s="13" t="s">
        <v>6952</v>
      </c>
      <c r="G7" s="1" t="s">
        <v>44</v>
      </c>
      <c r="H7" s="1" t="s">
        <v>45</v>
      </c>
      <c r="I7" s="1">
        <v>640</v>
      </c>
      <c r="J7" s="1" t="s">
        <v>46</v>
      </c>
      <c r="M7" s="1" t="s">
        <v>47</v>
      </c>
      <c r="N7" s="1" t="s">
        <v>48</v>
      </c>
      <c r="O7" s="9">
        <v>2</v>
      </c>
      <c r="P7" s="1">
        <f>ROUNDUP(6700*(1-$F$3),2)</f>
        <v>6700</v>
      </c>
      <c r="Q7" s="1" t="s">
        <v>49</v>
      </c>
      <c r="R7" s="1" t="s">
        <v>50</v>
      </c>
      <c r="S7" s="1" t="s">
        <v>51</v>
      </c>
      <c r="T7" s="9">
        <v>10</v>
      </c>
      <c r="U7" s="1">
        <f>ROUNDUP(6090.91*(1-$F$3),2)</f>
        <v>6090.91</v>
      </c>
      <c r="V7" s="1">
        <v>2566</v>
      </c>
      <c r="Y7" s="1" t="s">
        <v>52</v>
      </c>
      <c r="Z7" s="1" t="s">
        <v>53</v>
      </c>
      <c r="AA7" s="12">
        <v>45602</v>
      </c>
      <c r="AB7" s="1" t="s">
        <v>54</v>
      </c>
      <c r="AC7" s="1" t="s">
        <v>55</v>
      </c>
      <c r="AD7" s="1" t="s">
        <v>56</v>
      </c>
      <c r="AE7" s="1" t="s">
        <v>57</v>
      </c>
      <c r="AG7" s="1">
        <v>11509670</v>
      </c>
    </row>
    <row r="8" spans="1:34" s="1" customFormat="1" x14ac:dyDescent="0.25">
      <c r="C8" s="1" t="s">
        <v>58</v>
      </c>
      <c r="E8" s="1" t="s">
        <v>59</v>
      </c>
      <c r="F8" s="13" t="s">
        <v>6952</v>
      </c>
      <c r="G8" s="1" t="s">
        <v>60</v>
      </c>
      <c r="H8" s="1" t="s">
        <v>61</v>
      </c>
      <c r="I8" s="1">
        <v>816</v>
      </c>
      <c r="J8" s="1" t="s">
        <v>46</v>
      </c>
      <c r="M8" s="1" t="s">
        <v>62</v>
      </c>
      <c r="N8" s="1" t="s">
        <v>48</v>
      </c>
      <c r="O8" s="9">
        <v>4</v>
      </c>
      <c r="P8" s="1">
        <f>ROUNDUP(1770*(1-$F$3),2)</f>
        <v>1770</v>
      </c>
      <c r="Q8" s="1" t="s">
        <v>49</v>
      </c>
      <c r="R8" s="1" t="s">
        <v>63</v>
      </c>
      <c r="S8" s="1" t="s">
        <v>64</v>
      </c>
      <c r="T8" s="9">
        <v>10</v>
      </c>
      <c r="U8" s="1">
        <f>ROUNDUP(1609.09*(1-$F$3),2)</f>
        <v>1609.09</v>
      </c>
      <c r="V8" s="1">
        <v>1059</v>
      </c>
      <c r="Y8" s="1" t="s">
        <v>65</v>
      </c>
      <c r="Z8" s="1" t="s">
        <v>53</v>
      </c>
      <c r="AA8" s="12">
        <v>45967</v>
      </c>
      <c r="AB8" s="1" t="s">
        <v>66</v>
      </c>
      <c r="AC8" s="1" t="s">
        <v>67</v>
      </c>
      <c r="AD8" s="1" t="s">
        <v>68</v>
      </c>
      <c r="AE8" s="1" t="s">
        <v>69</v>
      </c>
      <c r="AG8" s="1">
        <v>11934350</v>
      </c>
    </row>
    <row r="9" spans="1:34" s="1" customFormat="1" x14ac:dyDescent="0.25">
      <c r="C9" s="1" t="s">
        <v>70</v>
      </c>
      <c r="E9" s="1" t="s">
        <v>71</v>
      </c>
      <c r="F9" s="13" t="s">
        <v>6952</v>
      </c>
      <c r="G9" s="1" t="s">
        <v>72</v>
      </c>
      <c r="H9" s="1" t="s">
        <v>61</v>
      </c>
      <c r="I9" s="1">
        <v>384</v>
      </c>
      <c r="J9" s="1" t="s">
        <v>46</v>
      </c>
      <c r="M9" s="1" t="s">
        <v>62</v>
      </c>
      <c r="N9" s="1" t="s">
        <v>48</v>
      </c>
      <c r="O9" s="9">
        <v>10</v>
      </c>
      <c r="P9" s="1">
        <f>ROUNDUP(1210*(1-$F$3),2)</f>
        <v>1210</v>
      </c>
      <c r="Q9" s="1" t="s">
        <v>49</v>
      </c>
      <c r="R9" s="1" t="s">
        <v>73</v>
      </c>
      <c r="S9" s="1" t="s">
        <v>74</v>
      </c>
      <c r="T9" s="9">
        <v>22</v>
      </c>
      <c r="U9" s="1">
        <f>ROUNDUP(991.8*(1-$F$3),2)</f>
        <v>991.8</v>
      </c>
      <c r="V9" s="1">
        <v>555</v>
      </c>
      <c r="Y9" s="1" t="s">
        <v>75</v>
      </c>
      <c r="Z9" s="1" t="s">
        <v>76</v>
      </c>
      <c r="AA9" s="12">
        <v>45993</v>
      </c>
      <c r="AB9" s="1" t="s">
        <v>66</v>
      </c>
      <c r="AC9" s="1" t="s">
        <v>77</v>
      </c>
      <c r="AD9" s="1" t="s">
        <v>78</v>
      </c>
      <c r="AE9" s="1" t="s">
        <v>69</v>
      </c>
      <c r="AG9" s="1">
        <v>11962340</v>
      </c>
    </row>
    <row r="10" spans="1:34" s="11" customFormat="1" x14ac:dyDescent="0.25">
      <c r="A10" s="11" t="s">
        <v>6953</v>
      </c>
      <c r="C10" s="11" t="s">
        <v>79</v>
      </c>
      <c r="E10" s="11" t="s">
        <v>80</v>
      </c>
      <c r="F10" s="14" t="s">
        <v>6952</v>
      </c>
      <c r="G10" s="11" t="s">
        <v>81</v>
      </c>
      <c r="H10" s="11" t="s">
        <v>82</v>
      </c>
      <c r="I10" s="11">
        <v>480</v>
      </c>
      <c r="J10" s="11" t="s">
        <v>46</v>
      </c>
      <c r="M10" s="11" t="s">
        <v>62</v>
      </c>
      <c r="N10" s="11" t="s">
        <v>48</v>
      </c>
      <c r="O10" s="23">
        <v>5</v>
      </c>
      <c r="P10" s="11">
        <f>ROUNDUP(1450*(1-$F$3),2)</f>
        <v>1450</v>
      </c>
      <c r="Q10" s="11" t="s">
        <v>49</v>
      </c>
      <c r="R10" s="11" t="s">
        <v>83</v>
      </c>
      <c r="S10" s="11" t="s">
        <v>84</v>
      </c>
      <c r="T10" s="23">
        <v>10</v>
      </c>
      <c r="U10" s="11">
        <f>ROUNDUP(1318.18*(1-$F$3),2)</f>
        <v>1318.18</v>
      </c>
      <c r="V10" s="11">
        <v>769</v>
      </c>
      <c r="Y10" s="11" t="s">
        <v>85</v>
      </c>
      <c r="Z10" s="11" t="s">
        <v>53</v>
      </c>
      <c r="AA10" s="15">
        <v>46098</v>
      </c>
      <c r="AB10" s="11" t="s">
        <v>86</v>
      </c>
      <c r="AC10" s="11" t="s">
        <v>87</v>
      </c>
      <c r="AD10" s="11" t="s">
        <v>88</v>
      </c>
      <c r="AE10" s="11" t="s">
        <v>69</v>
      </c>
      <c r="AG10" s="11">
        <v>12054140</v>
      </c>
    </row>
    <row r="11" spans="1:34" s="1" customFormat="1" x14ac:dyDescent="0.25">
      <c r="C11" s="1" t="s">
        <v>89</v>
      </c>
      <c r="E11" s="1" t="s">
        <v>90</v>
      </c>
      <c r="F11" s="13" t="s">
        <v>6952</v>
      </c>
      <c r="G11" s="1" t="s">
        <v>91</v>
      </c>
      <c r="H11" s="1" t="s">
        <v>82</v>
      </c>
      <c r="I11" s="1">
        <v>1280</v>
      </c>
      <c r="J11" s="1" t="s">
        <v>46</v>
      </c>
      <c r="M11" s="1" t="s">
        <v>47</v>
      </c>
      <c r="N11" s="1" t="s">
        <v>48</v>
      </c>
      <c r="O11" s="9"/>
      <c r="P11" s="1">
        <f>ROUNDUP(3980*(1-$F$3),2)</f>
        <v>3980</v>
      </c>
      <c r="Q11" s="1" t="s">
        <v>49</v>
      </c>
      <c r="R11" s="1" t="s">
        <v>92</v>
      </c>
      <c r="S11" s="1" t="s">
        <v>93</v>
      </c>
      <c r="T11" s="9">
        <v>22</v>
      </c>
      <c r="U11" s="1">
        <f>ROUNDUP(3262.3*(1-$F$3),2)</f>
        <v>3262.3</v>
      </c>
      <c r="V11" s="1">
        <v>1901</v>
      </c>
      <c r="Y11" s="1" t="s">
        <v>94</v>
      </c>
      <c r="Z11" s="1" t="s">
        <v>76</v>
      </c>
      <c r="AA11" s="12">
        <v>45701</v>
      </c>
      <c r="AB11" s="1" t="s">
        <v>95</v>
      </c>
      <c r="AC11" s="1" t="s">
        <v>96</v>
      </c>
      <c r="AD11" s="1" t="s">
        <v>97</v>
      </c>
      <c r="AE11" s="1" t="s">
        <v>69</v>
      </c>
      <c r="AG11" s="1">
        <v>11657470</v>
      </c>
    </row>
    <row r="12" spans="1:34" s="1" customFormat="1" x14ac:dyDescent="0.25">
      <c r="C12" s="1" t="s">
        <v>98</v>
      </c>
      <c r="E12" s="1" t="s">
        <v>99</v>
      </c>
      <c r="F12" s="13" t="s">
        <v>6952</v>
      </c>
      <c r="G12" s="1" t="s">
        <v>100</v>
      </c>
      <c r="H12" s="1" t="s">
        <v>61</v>
      </c>
      <c r="I12" s="1">
        <v>528</v>
      </c>
      <c r="J12" s="1" t="s">
        <v>46</v>
      </c>
      <c r="M12" s="1" t="s">
        <v>47</v>
      </c>
      <c r="N12" s="1" t="s">
        <v>48</v>
      </c>
      <c r="O12" s="9">
        <v>4</v>
      </c>
      <c r="P12" s="1">
        <f>ROUNDUP(1730*(1-$F$3),2)</f>
        <v>1730</v>
      </c>
      <c r="Q12" s="1" t="s">
        <v>49</v>
      </c>
      <c r="R12" s="1" t="s">
        <v>101</v>
      </c>
      <c r="S12" s="1" t="s">
        <v>102</v>
      </c>
      <c r="T12" s="9">
        <v>10</v>
      </c>
      <c r="U12" s="1">
        <f>ROUNDUP(1572.73*(1-$F$3),2)</f>
        <v>1572.73</v>
      </c>
      <c r="V12" s="1">
        <v>616</v>
      </c>
      <c r="Y12" s="1" t="s">
        <v>103</v>
      </c>
      <c r="Z12" s="1" t="s">
        <v>53</v>
      </c>
      <c r="AA12" s="12">
        <v>45867</v>
      </c>
      <c r="AB12" s="1" t="s">
        <v>66</v>
      </c>
      <c r="AC12" s="1" t="s">
        <v>104</v>
      </c>
      <c r="AD12" s="1" t="s">
        <v>105</v>
      </c>
      <c r="AE12" s="1" t="s">
        <v>69</v>
      </c>
      <c r="AG12" s="1">
        <v>11792080</v>
      </c>
    </row>
    <row r="13" spans="1:34" s="1" customFormat="1" x14ac:dyDescent="0.25">
      <c r="C13" s="1" t="s">
        <v>106</v>
      </c>
      <c r="E13" s="1" t="s">
        <v>107</v>
      </c>
      <c r="F13" s="13" t="s">
        <v>6952</v>
      </c>
      <c r="G13" s="1" t="s">
        <v>108</v>
      </c>
      <c r="H13" s="1" t="s">
        <v>61</v>
      </c>
      <c r="I13" s="1">
        <v>232</v>
      </c>
      <c r="J13" s="1" t="s">
        <v>46</v>
      </c>
      <c r="M13" s="1" t="s">
        <v>47</v>
      </c>
      <c r="N13" s="1" t="s">
        <v>48</v>
      </c>
      <c r="O13" s="9">
        <v>7</v>
      </c>
      <c r="P13" s="1">
        <f>ROUNDUP(1370*(1-$F$3),2)</f>
        <v>1370</v>
      </c>
      <c r="Q13" s="1" t="s">
        <v>49</v>
      </c>
      <c r="R13" s="1" t="s">
        <v>109</v>
      </c>
      <c r="S13" s="1" t="s">
        <v>110</v>
      </c>
      <c r="T13" s="9">
        <v>10</v>
      </c>
      <c r="U13" s="1">
        <f>ROUNDUP(1245.45*(1-$F$3),2)</f>
        <v>1245.45</v>
      </c>
      <c r="V13" s="1">
        <v>395</v>
      </c>
      <c r="Y13" s="1" t="s">
        <v>111</v>
      </c>
      <c r="Z13" s="1" t="s">
        <v>53</v>
      </c>
      <c r="AA13" s="12">
        <v>45553</v>
      </c>
      <c r="AB13" s="1" t="s">
        <v>95</v>
      </c>
      <c r="AC13" s="1" t="s">
        <v>112</v>
      </c>
      <c r="AD13" s="1" t="s">
        <v>113</v>
      </c>
      <c r="AE13" s="1" t="s">
        <v>69</v>
      </c>
      <c r="AG13" s="1">
        <v>11462850</v>
      </c>
    </row>
    <row r="14" spans="1:34" s="1" customFormat="1" x14ac:dyDescent="0.25">
      <c r="C14" s="1" t="s">
        <v>114</v>
      </c>
      <c r="E14" s="1" t="s">
        <v>115</v>
      </c>
      <c r="F14" s="13" t="s">
        <v>6952</v>
      </c>
      <c r="G14" s="1" t="s">
        <v>116</v>
      </c>
      <c r="H14" s="1" t="s">
        <v>61</v>
      </c>
      <c r="I14" s="1">
        <v>912</v>
      </c>
      <c r="J14" s="1" t="s">
        <v>46</v>
      </c>
      <c r="M14" s="1" t="s">
        <v>62</v>
      </c>
      <c r="N14" s="1" t="s">
        <v>48</v>
      </c>
      <c r="O14" s="9"/>
      <c r="P14" s="1">
        <f>ROUNDUP(2260*(1-$F$3),2)</f>
        <v>2260</v>
      </c>
      <c r="Q14" s="1" t="s">
        <v>49</v>
      </c>
      <c r="R14" s="1" t="s">
        <v>117</v>
      </c>
      <c r="S14" s="1" t="s">
        <v>118</v>
      </c>
      <c r="T14" s="9">
        <v>22</v>
      </c>
      <c r="U14" s="1">
        <f>ROUNDUP(1852.46*(1-$F$3),2)</f>
        <v>1852.46</v>
      </c>
      <c r="V14" s="1">
        <v>1034</v>
      </c>
      <c r="Y14" s="1" t="s">
        <v>119</v>
      </c>
      <c r="Z14" s="1" t="s">
        <v>76</v>
      </c>
      <c r="AA14" s="12">
        <v>45792</v>
      </c>
      <c r="AB14" s="1" t="s">
        <v>66</v>
      </c>
      <c r="AC14" s="1" t="s">
        <v>120</v>
      </c>
      <c r="AD14" s="1" t="s">
        <v>121</v>
      </c>
      <c r="AE14" s="1" t="s">
        <v>69</v>
      </c>
      <c r="AG14" s="1">
        <v>11757290</v>
      </c>
    </row>
    <row r="15" spans="1:34" s="1" customFormat="1" x14ac:dyDescent="0.25">
      <c r="C15" s="1" t="s">
        <v>122</v>
      </c>
      <c r="E15" s="1" t="s">
        <v>123</v>
      </c>
      <c r="F15" s="13" t="s">
        <v>6952</v>
      </c>
      <c r="G15" s="1" t="s">
        <v>124</v>
      </c>
      <c r="H15" s="1" t="s">
        <v>61</v>
      </c>
      <c r="I15" s="1">
        <v>320</v>
      </c>
      <c r="J15" s="1" t="s">
        <v>46</v>
      </c>
      <c r="M15" s="1" t="s">
        <v>62</v>
      </c>
      <c r="N15" s="1" t="s">
        <v>48</v>
      </c>
      <c r="O15" s="9">
        <v>10</v>
      </c>
      <c r="P15" s="1">
        <f>ROUNDUP(1110*(1-$F$3),2)</f>
        <v>1110</v>
      </c>
      <c r="Q15" s="1" t="s">
        <v>49</v>
      </c>
      <c r="R15" s="1" t="s">
        <v>125</v>
      </c>
      <c r="S15" s="1" t="s">
        <v>126</v>
      </c>
      <c r="T15" s="9">
        <v>10</v>
      </c>
      <c r="U15" s="1">
        <f>ROUNDUP(1009.09*(1-$F$3),2)</f>
        <v>1009.09</v>
      </c>
      <c r="V15" s="1">
        <v>471</v>
      </c>
      <c r="Y15" s="1" t="s">
        <v>127</v>
      </c>
      <c r="Z15" s="1" t="s">
        <v>128</v>
      </c>
      <c r="AA15" s="12">
        <v>45987</v>
      </c>
      <c r="AB15" s="1" t="s">
        <v>66</v>
      </c>
      <c r="AC15" s="1" t="s">
        <v>77</v>
      </c>
      <c r="AD15" s="1" t="s">
        <v>78</v>
      </c>
      <c r="AE15" s="1" t="s">
        <v>69</v>
      </c>
      <c r="AG15" s="1">
        <v>11943650</v>
      </c>
    </row>
    <row r="16" spans="1:34" s="1" customFormat="1" x14ac:dyDescent="0.25">
      <c r="C16" s="1" t="s">
        <v>129</v>
      </c>
      <c r="E16" s="1" t="s">
        <v>130</v>
      </c>
      <c r="F16" s="13" t="s">
        <v>6952</v>
      </c>
      <c r="G16" s="1" t="s">
        <v>131</v>
      </c>
      <c r="H16" s="1" t="s">
        <v>61</v>
      </c>
      <c r="I16" s="1">
        <v>560</v>
      </c>
      <c r="J16" s="1" t="s">
        <v>46</v>
      </c>
      <c r="M16" s="1" t="s">
        <v>62</v>
      </c>
      <c r="N16" s="1" t="s">
        <v>48</v>
      </c>
      <c r="O16" s="9">
        <v>6</v>
      </c>
      <c r="P16" s="1">
        <f>ROUNDUP(1300*(1-$F$3),2)</f>
        <v>1300</v>
      </c>
      <c r="Q16" s="1" t="s">
        <v>49</v>
      </c>
      <c r="R16" s="1" t="s">
        <v>132</v>
      </c>
      <c r="S16" s="1" t="s">
        <v>133</v>
      </c>
      <c r="T16" s="9">
        <v>22</v>
      </c>
      <c r="U16" s="1">
        <f>ROUNDUP(1065.57*(1-$F$3),2)</f>
        <v>1065.57</v>
      </c>
      <c r="V16" s="1">
        <v>592</v>
      </c>
      <c r="Y16" s="1" t="s">
        <v>134</v>
      </c>
      <c r="Z16" s="1" t="s">
        <v>76</v>
      </c>
      <c r="AA16" s="12">
        <v>45732</v>
      </c>
      <c r="AB16" s="1" t="s">
        <v>66</v>
      </c>
      <c r="AC16" s="1" t="s">
        <v>77</v>
      </c>
      <c r="AD16" s="1" t="s">
        <v>78</v>
      </c>
      <c r="AE16" s="1" t="s">
        <v>69</v>
      </c>
      <c r="AG16" s="1">
        <v>11647160</v>
      </c>
    </row>
    <row r="17" spans="1:33" s="11" customFormat="1" x14ac:dyDescent="0.25">
      <c r="A17" s="11" t="s">
        <v>6953</v>
      </c>
      <c r="C17" s="11" t="s">
        <v>135</v>
      </c>
      <c r="E17" s="11" t="s">
        <v>136</v>
      </c>
      <c r="F17" s="14" t="s">
        <v>6952</v>
      </c>
      <c r="G17" s="11" t="s">
        <v>137</v>
      </c>
      <c r="H17" s="11" t="s">
        <v>61</v>
      </c>
      <c r="I17" s="11">
        <v>448</v>
      </c>
      <c r="J17" s="11" t="s">
        <v>46</v>
      </c>
      <c r="K17" s="11" t="s">
        <v>138</v>
      </c>
      <c r="M17" s="11" t="s">
        <v>62</v>
      </c>
      <c r="N17" s="11" t="s">
        <v>139</v>
      </c>
      <c r="O17" s="23">
        <v>12</v>
      </c>
      <c r="P17" s="11">
        <f>ROUNDUP(1190*(1-$F$3),2)</f>
        <v>1190</v>
      </c>
      <c r="Q17" s="11" t="s">
        <v>49</v>
      </c>
      <c r="R17" s="11" t="s">
        <v>140</v>
      </c>
      <c r="S17" s="11" t="s">
        <v>141</v>
      </c>
      <c r="T17" s="23">
        <v>22</v>
      </c>
      <c r="U17" s="11">
        <f>ROUNDUP(975.41*(1-$F$3),2)</f>
        <v>975.41</v>
      </c>
      <c r="V17" s="11">
        <v>448</v>
      </c>
      <c r="Y17" s="11" t="s">
        <v>142</v>
      </c>
      <c r="Z17" s="11" t="s">
        <v>76</v>
      </c>
      <c r="AA17" s="15">
        <v>46085</v>
      </c>
      <c r="AB17" s="11" t="s">
        <v>66</v>
      </c>
      <c r="AC17" s="11" t="s">
        <v>143</v>
      </c>
      <c r="AD17" s="11" t="s">
        <v>144</v>
      </c>
      <c r="AE17" s="11" t="s">
        <v>69</v>
      </c>
      <c r="AG17" s="11">
        <v>12029760</v>
      </c>
    </row>
    <row r="18" spans="1:33" s="1" customFormat="1" x14ac:dyDescent="0.25">
      <c r="C18" s="1" t="s">
        <v>145</v>
      </c>
      <c r="E18" s="1" t="s">
        <v>146</v>
      </c>
      <c r="F18" s="13" t="s">
        <v>6952</v>
      </c>
      <c r="G18" s="1" t="s">
        <v>147</v>
      </c>
      <c r="H18" s="1" t="s">
        <v>61</v>
      </c>
      <c r="I18" s="1">
        <v>624</v>
      </c>
      <c r="J18" s="1" t="s">
        <v>46</v>
      </c>
      <c r="M18" s="1" t="s">
        <v>47</v>
      </c>
      <c r="N18" s="1" t="s">
        <v>48</v>
      </c>
      <c r="O18" s="9"/>
      <c r="P18" s="1">
        <f>ROUNDUP(1960*(1-$F$3),2)</f>
        <v>1960</v>
      </c>
      <c r="Q18" s="1" t="s">
        <v>49</v>
      </c>
      <c r="R18" s="1" t="s">
        <v>148</v>
      </c>
      <c r="S18" s="1" t="s">
        <v>149</v>
      </c>
      <c r="T18" s="9">
        <v>22</v>
      </c>
      <c r="U18" s="1">
        <f>ROUNDUP(1606.56*(1-$F$3),2)</f>
        <v>1606.56</v>
      </c>
      <c r="V18" s="1">
        <v>849</v>
      </c>
      <c r="Y18" s="1" t="s">
        <v>150</v>
      </c>
      <c r="Z18" s="1" t="s">
        <v>76</v>
      </c>
      <c r="AA18" s="12">
        <v>45721</v>
      </c>
      <c r="AB18" s="1" t="s">
        <v>66</v>
      </c>
      <c r="AC18" s="1" t="s">
        <v>143</v>
      </c>
      <c r="AD18" s="1" t="s">
        <v>144</v>
      </c>
      <c r="AE18" s="1" t="s">
        <v>69</v>
      </c>
      <c r="AG18" s="1">
        <v>11680480</v>
      </c>
    </row>
    <row r="19" spans="1:33" s="1" customFormat="1" x14ac:dyDescent="0.25">
      <c r="C19" s="1" t="s">
        <v>151</v>
      </c>
      <c r="E19" s="1" t="s">
        <v>152</v>
      </c>
      <c r="F19" s="13" t="s">
        <v>6952</v>
      </c>
      <c r="G19" s="1" t="s">
        <v>153</v>
      </c>
      <c r="H19" s="1" t="s">
        <v>61</v>
      </c>
      <c r="I19" s="1">
        <v>304</v>
      </c>
      <c r="J19" s="1" t="s">
        <v>46</v>
      </c>
      <c r="M19" s="1" t="s">
        <v>47</v>
      </c>
      <c r="N19" s="1" t="s">
        <v>48</v>
      </c>
      <c r="O19" s="9">
        <v>8</v>
      </c>
      <c r="P19" s="1">
        <f>ROUNDUP(760*(1-$F$3),2)</f>
        <v>760</v>
      </c>
      <c r="Q19" s="1" t="s">
        <v>49</v>
      </c>
      <c r="R19" s="1" t="s">
        <v>154</v>
      </c>
      <c r="S19" s="1" t="s">
        <v>155</v>
      </c>
      <c r="T19" s="9">
        <v>22</v>
      </c>
      <c r="U19" s="1">
        <f>ROUNDUP(622.95*(1-$F$3),2)</f>
        <v>622.95000000000005</v>
      </c>
      <c r="V19" s="1">
        <v>351</v>
      </c>
      <c r="Y19" s="1" t="s">
        <v>156</v>
      </c>
      <c r="Z19" s="1" t="s">
        <v>76</v>
      </c>
      <c r="AA19" s="12">
        <v>45754</v>
      </c>
      <c r="AB19" s="1" t="s">
        <v>66</v>
      </c>
      <c r="AC19" s="1" t="s">
        <v>77</v>
      </c>
      <c r="AD19" s="1" t="s">
        <v>78</v>
      </c>
      <c r="AE19" s="1" t="s">
        <v>69</v>
      </c>
      <c r="AG19" s="1">
        <v>11675640</v>
      </c>
    </row>
    <row r="20" spans="1:33" s="1" customFormat="1" x14ac:dyDescent="0.25">
      <c r="C20" s="1" t="s">
        <v>157</v>
      </c>
      <c r="E20" s="1" t="s">
        <v>158</v>
      </c>
      <c r="F20" s="13" t="s">
        <v>6952</v>
      </c>
      <c r="G20" s="1" t="s">
        <v>159</v>
      </c>
      <c r="H20" s="1" t="s">
        <v>160</v>
      </c>
      <c r="I20" s="1">
        <v>1072</v>
      </c>
      <c r="J20" s="1" t="s">
        <v>46</v>
      </c>
      <c r="M20" s="1" t="s">
        <v>161</v>
      </c>
      <c r="N20" s="1" t="s">
        <v>48</v>
      </c>
      <c r="O20" s="9"/>
      <c r="P20" s="1">
        <f>ROUNDUP(3350*(1-$F$3),2)</f>
        <v>3350</v>
      </c>
      <c r="Q20" s="1" t="s">
        <v>49</v>
      </c>
      <c r="R20" s="1" t="s">
        <v>162</v>
      </c>
      <c r="S20" s="1" t="s">
        <v>163</v>
      </c>
      <c r="T20" s="9">
        <v>10</v>
      </c>
      <c r="U20" s="1">
        <f>ROUNDUP(3045.45*(1-$F$3),2)</f>
        <v>3045.45</v>
      </c>
      <c r="V20" s="1">
        <v>1191</v>
      </c>
      <c r="Y20" s="1" t="s">
        <v>164</v>
      </c>
      <c r="Z20" s="1" t="s">
        <v>53</v>
      </c>
      <c r="AA20" s="12">
        <v>45706</v>
      </c>
      <c r="AB20" s="1" t="s">
        <v>66</v>
      </c>
      <c r="AC20" s="1" t="s">
        <v>67</v>
      </c>
      <c r="AD20" s="1" t="s">
        <v>165</v>
      </c>
      <c r="AE20" s="1" t="s">
        <v>69</v>
      </c>
      <c r="AG20" s="1">
        <v>11664080</v>
      </c>
    </row>
    <row r="21" spans="1:33" s="1" customFormat="1" x14ac:dyDescent="0.25">
      <c r="C21" s="1" t="s">
        <v>166</v>
      </c>
      <c r="E21" s="1" t="s">
        <v>167</v>
      </c>
      <c r="F21" s="13" t="s">
        <v>6952</v>
      </c>
      <c r="G21" s="1" t="s">
        <v>168</v>
      </c>
      <c r="H21" s="1" t="s">
        <v>160</v>
      </c>
      <c r="I21" s="1">
        <v>352</v>
      </c>
      <c r="J21" s="1" t="s">
        <v>46</v>
      </c>
      <c r="M21" s="1" t="s">
        <v>169</v>
      </c>
      <c r="N21" s="1" t="s">
        <v>48</v>
      </c>
      <c r="O21" s="9">
        <v>10</v>
      </c>
      <c r="P21" s="1">
        <f>ROUNDUP(1250*(1-$F$3),2)</f>
        <v>1250</v>
      </c>
      <c r="Q21" s="1" t="s">
        <v>49</v>
      </c>
      <c r="R21" s="1" t="s">
        <v>170</v>
      </c>
      <c r="S21" s="1" t="s">
        <v>171</v>
      </c>
      <c r="T21" s="9">
        <v>10</v>
      </c>
      <c r="U21" s="1">
        <f>ROUNDUP(1136.36*(1-$F$3),2)</f>
        <v>1136.3599999999999</v>
      </c>
      <c r="V21" s="1">
        <v>454</v>
      </c>
      <c r="Y21" s="1" t="s">
        <v>172</v>
      </c>
      <c r="Z21" s="1" t="s">
        <v>53</v>
      </c>
      <c r="AA21" s="12">
        <v>44608</v>
      </c>
      <c r="AB21" s="1" t="s">
        <v>66</v>
      </c>
      <c r="AC21" s="1" t="s">
        <v>104</v>
      </c>
      <c r="AD21" s="1" t="s">
        <v>105</v>
      </c>
      <c r="AE21" s="1" t="s">
        <v>69</v>
      </c>
      <c r="AG21" s="1">
        <v>10290150</v>
      </c>
    </row>
    <row r="22" spans="1:33" s="1" customFormat="1" x14ac:dyDescent="0.25">
      <c r="C22" s="1" t="s">
        <v>173</v>
      </c>
      <c r="E22" s="1" t="s">
        <v>174</v>
      </c>
      <c r="F22" s="13" t="s">
        <v>6952</v>
      </c>
      <c r="G22" s="1" t="s">
        <v>175</v>
      </c>
      <c r="H22" s="1" t="s">
        <v>160</v>
      </c>
      <c r="I22" s="1">
        <v>1024</v>
      </c>
      <c r="J22" s="1" t="s">
        <v>46</v>
      </c>
      <c r="M22" s="1" t="s">
        <v>176</v>
      </c>
      <c r="N22" s="1" t="s">
        <v>48</v>
      </c>
      <c r="O22" s="9"/>
      <c r="P22" s="1">
        <f>ROUNDUP(3210*(1-$F$3),2)</f>
        <v>3210</v>
      </c>
      <c r="Q22" s="1" t="s">
        <v>49</v>
      </c>
      <c r="R22" s="1" t="s">
        <v>177</v>
      </c>
      <c r="S22" s="1" t="s">
        <v>178</v>
      </c>
      <c r="T22" s="9">
        <v>10</v>
      </c>
      <c r="U22" s="1">
        <f>ROUNDUP(2918.18*(1-$F$3),2)</f>
        <v>2918.18</v>
      </c>
      <c r="V22" s="1">
        <v>1204</v>
      </c>
      <c r="Y22" s="1" t="s">
        <v>179</v>
      </c>
      <c r="Z22" s="1" t="s">
        <v>53</v>
      </c>
      <c r="AA22" s="12">
        <v>45706</v>
      </c>
      <c r="AB22" s="1" t="s">
        <v>66</v>
      </c>
      <c r="AC22" s="1" t="s">
        <v>67</v>
      </c>
      <c r="AD22" s="1" t="s">
        <v>180</v>
      </c>
      <c r="AE22" s="1" t="s">
        <v>69</v>
      </c>
      <c r="AG22" s="1">
        <v>11664290</v>
      </c>
    </row>
    <row r="23" spans="1:33" s="1" customFormat="1" x14ac:dyDescent="0.25">
      <c r="C23" s="1" t="s">
        <v>181</v>
      </c>
      <c r="E23" s="1" t="s">
        <v>182</v>
      </c>
      <c r="F23" s="13" t="s">
        <v>6952</v>
      </c>
      <c r="G23" s="1" t="s">
        <v>183</v>
      </c>
      <c r="H23" s="1" t="s">
        <v>61</v>
      </c>
      <c r="I23" s="1">
        <v>272</v>
      </c>
      <c r="J23" s="1" t="s">
        <v>46</v>
      </c>
      <c r="M23" s="1" t="s">
        <v>47</v>
      </c>
      <c r="N23" s="1" t="s">
        <v>48</v>
      </c>
      <c r="O23" s="9">
        <v>5</v>
      </c>
      <c r="P23" s="1">
        <f>ROUNDUP(1000*(1-$F$3),2)</f>
        <v>1000</v>
      </c>
      <c r="Q23" s="1" t="s">
        <v>49</v>
      </c>
      <c r="R23" s="1" t="s">
        <v>184</v>
      </c>
      <c r="S23" s="1" t="s">
        <v>185</v>
      </c>
      <c r="T23" s="9">
        <v>10</v>
      </c>
      <c r="U23" s="1">
        <f>ROUNDUP(909.09*(1-$F$3),2)</f>
        <v>909.09</v>
      </c>
      <c r="V23" s="1">
        <v>329</v>
      </c>
      <c r="Y23" s="1" t="s">
        <v>186</v>
      </c>
      <c r="Z23" s="1" t="s">
        <v>53</v>
      </c>
      <c r="AA23" s="12">
        <v>45756</v>
      </c>
      <c r="AB23" s="1" t="s">
        <v>66</v>
      </c>
      <c r="AC23" s="1" t="s">
        <v>77</v>
      </c>
      <c r="AD23" s="1" t="s">
        <v>78</v>
      </c>
      <c r="AE23" s="1" t="s">
        <v>69</v>
      </c>
      <c r="AG23" s="1">
        <v>11708390</v>
      </c>
    </row>
    <row r="24" spans="1:33" s="1" customFormat="1" x14ac:dyDescent="0.25">
      <c r="C24" s="1" t="s">
        <v>187</v>
      </c>
      <c r="E24" s="1" t="s">
        <v>188</v>
      </c>
      <c r="F24" s="13" t="s">
        <v>6952</v>
      </c>
      <c r="G24" s="1" t="s">
        <v>189</v>
      </c>
      <c r="H24" s="1" t="s">
        <v>190</v>
      </c>
      <c r="I24" s="1">
        <v>1152</v>
      </c>
      <c r="J24" s="1" t="s">
        <v>46</v>
      </c>
      <c r="M24" s="1" t="s">
        <v>47</v>
      </c>
      <c r="N24" s="1" t="s">
        <v>139</v>
      </c>
      <c r="O24" s="9"/>
      <c r="P24" s="1">
        <f>ROUNDUP(1900*(1-$F$3),2)</f>
        <v>1900</v>
      </c>
      <c r="Q24" s="1" t="s">
        <v>49</v>
      </c>
      <c r="R24" s="1" t="s">
        <v>191</v>
      </c>
      <c r="S24" s="1" t="s">
        <v>192</v>
      </c>
      <c r="T24" s="9">
        <v>22</v>
      </c>
      <c r="U24" s="1">
        <f>ROUNDUP(1557.38*(1-$F$3),2)</f>
        <v>1557.38</v>
      </c>
      <c r="V24" s="1">
        <v>1056</v>
      </c>
      <c r="Y24" s="1" t="s">
        <v>193</v>
      </c>
      <c r="Z24" s="1" t="s">
        <v>76</v>
      </c>
      <c r="AA24" s="12">
        <v>45721</v>
      </c>
      <c r="AB24" s="1" t="s">
        <v>66</v>
      </c>
      <c r="AC24" s="1" t="s">
        <v>143</v>
      </c>
      <c r="AD24" s="1" t="s">
        <v>194</v>
      </c>
      <c r="AE24" s="1" t="s">
        <v>69</v>
      </c>
      <c r="AG24" s="1">
        <v>11680430</v>
      </c>
    </row>
    <row r="25" spans="1:33" s="1" customFormat="1" x14ac:dyDescent="0.25">
      <c r="C25" s="1" t="s">
        <v>195</v>
      </c>
      <c r="E25" s="1" t="s">
        <v>196</v>
      </c>
      <c r="F25" s="13" t="s">
        <v>6952</v>
      </c>
      <c r="G25" s="1" t="s">
        <v>197</v>
      </c>
      <c r="H25" s="1" t="s">
        <v>61</v>
      </c>
      <c r="I25" s="1">
        <v>320</v>
      </c>
      <c r="J25" s="1" t="s">
        <v>46</v>
      </c>
      <c r="M25" s="1" t="s">
        <v>62</v>
      </c>
      <c r="N25" s="1" t="s">
        <v>48</v>
      </c>
      <c r="O25" s="9"/>
      <c r="P25" s="1">
        <f>ROUNDUP(1460*(1-$F$3),2)</f>
        <v>1460</v>
      </c>
      <c r="Q25" s="1" t="s">
        <v>49</v>
      </c>
      <c r="R25" s="1" t="s">
        <v>198</v>
      </c>
      <c r="S25" s="1" t="s">
        <v>199</v>
      </c>
      <c r="T25" s="9">
        <v>22</v>
      </c>
      <c r="U25" s="1">
        <f>ROUNDUP(1196.72*(1-$F$3),2)</f>
        <v>1196.72</v>
      </c>
      <c r="V25" s="1">
        <v>476</v>
      </c>
      <c r="Y25" s="1" t="s">
        <v>200</v>
      </c>
      <c r="Z25" s="1" t="s">
        <v>76</v>
      </c>
      <c r="AA25" s="12">
        <v>45931</v>
      </c>
      <c r="AB25" s="1" t="s">
        <v>66</v>
      </c>
      <c r="AC25" s="1" t="s">
        <v>77</v>
      </c>
      <c r="AD25" s="1" t="s">
        <v>78</v>
      </c>
      <c r="AE25" s="1" t="s">
        <v>69</v>
      </c>
      <c r="AG25" s="1">
        <v>11893880</v>
      </c>
    </row>
    <row r="26" spans="1:33" s="1" customFormat="1" x14ac:dyDescent="0.25">
      <c r="C26" s="1" t="s">
        <v>201</v>
      </c>
      <c r="E26" s="1" t="s">
        <v>202</v>
      </c>
      <c r="F26" s="13" t="s">
        <v>6952</v>
      </c>
      <c r="G26" s="1" t="s">
        <v>203</v>
      </c>
      <c r="H26" s="1" t="s">
        <v>61</v>
      </c>
      <c r="I26" s="1">
        <v>736</v>
      </c>
      <c r="J26" s="1" t="s">
        <v>46</v>
      </c>
      <c r="K26" s="1" t="s">
        <v>204</v>
      </c>
      <c r="M26" s="1" t="s">
        <v>47</v>
      </c>
      <c r="N26" s="1" t="s">
        <v>48</v>
      </c>
      <c r="O26" s="9"/>
      <c r="P26" s="1">
        <f>ROUNDUP(1860*(1-$F$3),2)</f>
        <v>1860</v>
      </c>
      <c r="Q26" s="1" t="s">
        <v>49</v>
      </c>
      <c r="R26" s="1" t="s">
        <v>205</v>
      </c>
      <c r="S26" s="1" t="s">
        <v>206</v>
      </c>
      <c r="T26" s="9">
        <v>22</v>
      </c>
      <c r="U26" s="1">
        <f>ROUNDUP(1524.59*(1-$F$3),2)</f>
        <v>1524.59</v>
      </c>
      <c r="V26" s="1">
        <v>795</v>
      </c>
      <c r="Y26" s="1" t="s">
        <v>207</v>
      </c>
      <c r="Z26" s="1" t="s">
        <v>76</v>
      </c>
      <c r="AA26" s="12">
        <v>45721</v>
      </c>
      <c r="AB26" s="1" t="s">
        <v>66</v>
      </c>
      <c r="AC26" s="1" t="s">
        <v>143</v>
      </c>
      <c r="AD26" s="1" t="s">
        <v>144</v>
      </c>
      <c r="AE26" s="1" t="s">
        <v>69</v>
      </c>
      <c r="AG26" s="1">
        <v>11680400</v>
      </c>
    </row>
    <row r="27" spans="1:33" s="1" customFormat="1" x14ac:dyDescent="0.25">
      <c r="C27" s="1" t="s">
        <v>208</v>
      </c>
      <c r="E27" s="1" t="s">
        <v>209</v>
      </c>
      <c r="F27" s="13" t="s">
        <v>6952</v>
      </c>
      <c r="G27" s="1" t="s">
        <v>168</v>
      </c>
      <c r="H27" s="1" t="s">
        <v>160</v>
      </c>
      <c r="I27" s="1">
        <v>416</v>
      </c>
      <c r="J27" s="1" t="s">
        <v>46</v>
      </c>
      <c r="M27" s="1" t="s">
        <v>62</v>
      </c>
      <c r="N27" s="1" t="s">
        <v>48</v>
      </c>
      <c r="O27" s="9">
        <v>5</v>
      </c>
      <c r="P27" s="1">
        <f>ROUNDUP(1290*(1-$F$3),2)</f>
        <v>1290</v>
      </c>
      <c r="Q27" s="1" t="s">
        <v>49</v>
      </c>
      <c r="R27" s="1" t="s">
        <v>210</v>
      </c>
      <c r="S27" s="1" t="s">
        <v>211</v>
      </c>
      <c r="T27" s="9">
        <v>10</v>
      </c>
      <c r="U27" s="1">
        <f>ROUNDUP(1172.73*(1-$F$3),2)</f>
        <v>1172.73</v>
      </c>
      <c r="V27" s="1">
        <v>526</v>
      </c>
      <c r="Y27" s="1" t="s">
        <v>212</v>
      </c>
      <c r="Z27" s="1" t="s">
        <v>53</v>
      </c>
      <c r="AA27" s="12">
        <v>46070</v>
      </c>
      <c r="AB27" s="1" t="s">
        <v>66</v>
      </c>
      <c r="AC27" s="1" t="s">
        <v>104</v>
      </c>
      <c r="AD27" s="1" t="s">
        <v>105</v>
      </c>
      <c r="AE27" s="1" t="s">
        <v>69</v>
      </c>
      <c r="AG27" s="1">
        <v>12038380</v>
      </c>
    </row>
    <row r="28" spans="1:33" s="1" customFormat="1" x14ac:dyDescent="0.25">
      <c r="C28" s="1" t="s">
        <v>213</v>
      </c>
      <c r="E28" s="1" t="s">
        <v>214</v>
      </c>
      <c r="F28" s="13" t="s">
        <v>6952</v>
      </c>
      <c r="G28" s="1" t="s">
        <v>215</v>
      </c>
      <c r="H28" s="1" t="s">
        <v>190</v>
      </c>
      <c r="I28" s="1">
        <v>192</v>
      </c>
      <c r="J28" s="1" t="s">
        <v>46</v>
      </c>
      <c r="M28" s="1" t="s">
        <v>47</v>
      </c>
      <c r="N28" s="1" t="s">
        <v>139</v>
      </c>
      <c r="O28" s="9">
        <v>26</v>
      </c>
      <c r="P28" s="1">
        <f>ROUNDUP(680*(1-$F$3),2)</f>
        <v>680</v>
      </c>
      <c r="Q28" s="1" t="s">
        <v>49</v>
      </c>
      <c r="R28" s="1" t="s">
        <v>216</v>
      </c>
      <c r="S28" s="1" t="s">
        <v>217</v>
      </c>
      <c r="T28" s="9">
        <v>10</v>
      </c>
      <c r="U28" s="1">
        <f>ROUNDUP(618.18*(1-$F$3),2)</f>
        <v>618.17999999999995</v>
      </c>
      <c r="V28" s="1">
        <v>121</v>
      </c>
      <c r="Y28" s="1" t="s">
        <v>218</v>
      </c>
      <c r="Z28" s="1" t="s">
        <v>53</v>
      </c>
      <c r="AA28" s="12">
        <v>45544</v>
      </c>
      <c r="AB28" s="1" t="s">
        <v>219</v>
      </c>
      <c r="AC28" s="1" t="s">
        <v>220</v>
      </c>
      <c r="AD28" s="1" t="s">
        <v>221</v>
      </c>
      <c r="AE28" s="1" t="s">
        <v>69</v>
      </c>
      <c r="AG28" s="1">
        <v>11462130</v>
      </c>
    </row>
    <row r="29" spans="1:33" s="1" customFormat="1" x14ac:dyDescent="0.25">
      <c r="C29" s="1" t="s">
        <v>222</v>
      </c>
      <c r="E29" s="1" t="s">
        <v>223</v>
      </c>
      <c r="F29" s="13" t="s">
        <v>6952</v>
      </c>
      <c r="G29" s="1" t="s">
        <v>224</v>
      </c>
      <c r="H29" s="1" t="s">
        <v>160</v>
      </c>
      <c r="I29" s="1">
        <v>1072</v>
      </c>
      <c r="J29" s="1" t="s">
        <v>46</v>
      </c>
      <c r="M29" s="1" t="s">
        <v>176</v>
      </c>
      <c r="N29" s="1" t="s">
        <v>48</v>
      </c>
      <c r="O29" s="9"/>
      <c r="P29" s="1">
        <f>ROUNDUP(3460*(1-$F$3),2)</f>
        <v>3460</v>
      </c>
      <c r="Q29" s="1" t="s">
        <v>49</v>
      </c>
      <c r="R29" s="1" t="s">
        <v>225</v>
      </c>
      <c r="S29" s="1" t="s">
        <v>226</v>
      </c>
      <c r="T29" s="9">
        <v>10</v>
      </c>
      <c r="U29" s="1">
        <f>ROUNDUP(3145.45*(1-$F$3),2)</f>
        <v>3145.45</v>
      </c>
      <c r="V29" s="1">
        <v>1235</v>
      </c>
      <c r="Y29" s="1" t="s">
        <v>227</v>
      </c>
      <c r="Z29" s="1" t="s">
        <v>53</v>
      </c>
      <c r="AA29" s="12">
        <v>45706</v>
      </c>
      <c r="AB29" s="1" t="s">
        <v>66</v>
      </c>
      <c r="AC29" s="1" t="s">
        <v>67</v>
      </c>
      <c r="AD29" s="1" t="s">
        <v>180</v>
      </c>
      <c r="AE29" s="1" t="s">
        <v>69</v>
      </c>
      <c r="AG29" s="1">
        <v>11663750</v>
      </c>
    </row>
    <row r="30" spans="1:33" s="1" customFormat="1" x14ac:dyDescent="0.25">
      <c r="C30" s="1" t="s">
        <v>228</v>
      </c>
      <c r="E30" s="1" t="s">
        <v>229</v>
      </c>
      <c r="F30" s="13" t="s">
        <v>6952</v>
      </c>
      <c r="G30" s="1" t="s">
        <v>230</v>
      </c>
      <c r="H30" s="1" t="s">
        <v>82</v>
      </c>
      <c r="I30" s="1">
        <v>400</v>
      </c>
      <c r="J30" s="1" t="s">
        <v>46</v>
      </c>
      <c r="M30" s="1" t="s">
        <v>47</v>
      </c>
      <c r="N30" s="1" t="s">
        <v>48</v>
      </c>
      <c r="O30" s="9">
        <v>6</v>
      </c>
      <c r="P30" s="1">
        <f>ROUNDUP(1730*(1-$F$3),2)</f>
        <v>1730</v>
      </c>
      <c r="Q30" s="1" t="s">
        <v>49</v>
      </c>
      <c r="R30" s="1" t="s">
        <v>231</v>
      </c>
      <c r="S30" s="1" t="s">
        <v>232</v>
      </c>
      <c r="T30" s="9">
        <v>10</v>
      </c>
      <c r="U30" s="1">
        <f>ROUNDUP(1572.73*(1-$F$3),2)</f>
        <v>1572.73</v>
      </c>
      <c r="V30" s="1">
        <v>777</v>
      </c>
      <c r="Y30" s="1" t="s">
        <v>233</v>
      </c>
      <c r="Z30" s="1" t="s">
        <v>53</v>
      </c>
      <c r="AA30" s="12">
        <v>45598</v>
      </c>
      <c r="AB30" s="1" t="s">
        <v>234</v>
      </c>
      <c r="AC30" s="1" t="s">
        <v>235</v>
      </c>
      <c r="AD30" s="1" t="s">
        <v>236</v>
      </c>
      <c r="AE30" s="1" t="s">
        <v>69</v>
      </c>
      <c r="AG30" s="1">
        <v>11520930</v>
      </c>
    </row>
    <row r="31" spans="1:33" s="1" customFormat="1" x14ac:dyDescent="0.25">
      <c r="C31" s="1" t="s">
        <v>237</v>
      </c>
      <c r="E31" s="1" t="s">
        <v>238</v>
      </c>
      <c r="F31" s="13" t="s">
        <v>6952</v>
      </c>
      <c r="G31" s="1" t="s">
        <v>239</v>
      </c>
      <c r="H31" s="1" t="s">
        <v>61</v>
      </c>
      <c r="I31" s="1">
        <v>432</v>
      </c>
      <c r="J31" s="1" t="s">
        <v>46</v>
      </c>
      <c r="M31" s="1" t="s">
        <v>47</v>
      </c>
      <c r="N31" s="1" t="s">
        <v>48</v>
      </c>
      <c r="O31" s="9">
        <v>6</v>
      </c>
      <c r="P31" s="1">
        <f>ROUNDUP(1270*(1-$F$3),2)</f>
        <v>1270</v>
      </c>
      <c r="Q31" s="1" t="s">
        <v>49</v>
      </c>
      <c r="R31" s="1" t="s">
        <v>240</v>
      </c>
      <c r="S31" s="1" t="s">
        <v>241</v>
      </c>
      <c r="T31" s="9">
        <v>10</v>
      </c>
      <c r="U31" s="1">
        <f>ROUNDUP(1154.55*(1-$F$3),2)</f>
        <v>1154.55</v>
      </c>
      <c r="V31" s="1">
        <v>501</v>
      </c>
      <c r="Y31" s="1" t="s">
        <v>242</v>
      </c>
      <c r="Z31" s="1" t="s">
        <v>53</v>
      </c>
      <c r="AA31" s="12">
        <v>45651</v>
      </c>
      <c r="AB31" s="1" t="s">
        <v>95</v>
      </c>
      <c r="AC31" s="1" t="s">
        <v>112</v>
      </c>
      <c r="AD31" s="1" t="s">
        <v>243</v>
      </c>
      <c r="AE31" s="1" t="s">
        <v>69</v>
      </c>
      <c r="AG31" s="1">
        <v>11566190</v>
      </c>
    </row>
    <row r="32" spans="1:33" s="1" customFormat="1" x14ac:dyDescent="0.25">
      <c r="C32" s="1" t="s">
        <v>244</v>
      </c>
      <c r="E32" s="1" t="s">
        <v>245</v>
      </c>
      <c r="F32" s="13" t="s">
        <v>6952</v>
      </c>
      <c r="G32" s="1" t="s">
        <v>246</v>
      </c>
      <c r="H32" s="1" t="s">
        <v>61</v>
      </c>
      <c r="I32" s="1">
        <v>720</v>
      </c>
      <c r="J32" s="1" t="s">
        <v>46</v>
      </c>
      <c r="M32" s="1" t="s">
        <v>62</v>
      </c>
      <c r="N32" s="1" t="s">
        <v>48</v>
      </c>
      <c r="O32" s="9">
        <v>5</v>
      </c>
      <c r="P32" s="1">
        <f>ROUNDUP(2690*(1-$F$3),2)</f>
        <v>2690</v>
      </c>
      <c r="Q32" s="1" t="s">
        <v>49</v>
      </c>
      <c r="R32" s="1" t="s">
        <v>247</v>
      </c>
      <c r="S32" s="1" t="s">
        <v>248</v>
      </c>
      <c r="T32" s="9">
        <v>22</v>
      </c>
      <c r="U32" s="1">
        <f>ROUNDUP(2204.92*(1-$F$3),2)</f>
        <v>2204.92</v>
      </c>
      <c r="V32" s="1">
        <v>799</v>
      </c>
      <c r="Y32" s="1" t="s">
        <v>249</v>
      </c>
      <c r="Z32" s="1" t="s">
        <v>76</v>
      </c>
      <c r="AA32" s="12">
        <v>46079</v>
      </c>
      <c r="AB32" s="1" t="s">
        <v>66</v>
      </c>
      <c r="AC32" s="1" t="s">
        <v>77</v>
      </c>
      <c r="AD32" s="1" t="s">
        <v>78</v>
      </c>
      <c r="AE32" s="1" t="s">
        <v>69</v>
      </c>
      <c r="AG32" s="1">
        <v>12041890</v>
      </c>
    </row>
    <row r="33" spans="1:33" s="1" customFormat="1" x14ac:dyDescent="0.25">
      <c r="C33" s="1" t="s">
        <v>250</v>
      </c>
      <c r="E33" s="1" t="s">
        <v>251</v>
      </c>
      <c r="F33" s="13" t="s">
        <v>6952</v>
      </c>
      <c r="G33" s="1" t="s">
        <v>252</v>
      </c>
      <c r="H33" s="1" t="s">
        <v>61</v>
      </c>
      <c r="I33" s="1">
        <v>136</v>
      </c>
      <c r="J33" s="1" t="s">
        <v>46</v>
      </c>
      <c r="M33" s="1" t="s">
        <v>47</v>
      </c>
      <c r="N33" s="1" t="s">
        <v>48</v>
      </c>
      <c r="O33" s="9">
        <v>10</v>
      </c>
      <c r="P33" s="1">
        <f>ROUNDUP(910*(1-$F$3),2)</f>
        <v>910</v>
      </c>
      <c r="Q33" s="1" t="s">
        <v>49</v>
      </c>
      <c r="R33" s="1" t="s">
        <v>253</v>
      </c>
      <c r="S33" s="1" t="s">
        <v>254</v>
      </c>
      <c r="T33" s="9">
        <v>10</v>
      </c>
      <c r="U33" s="1">
        <f>ROUNDUP(827.27*(1-$F$3),2)</f>
        <v>827.27</v>
      </c>
      <c r="V33" s="1">
        <v>278</v>
      </c>
      <c r="Y33" s="1" t="s">
        <v>255</v>
      </c>
      <c r="Z33" s="1" t="s">
        <v>53</v>
      </c>
      <c r="AA33" s="12">
        <v>45469</v>
      </c>
      <c r="AB33" s="1" t="s">
        <v>86</v>
      </c>
      <c r="AC33" s="1" t="s">
        <v>256</v>
      </c>
      <c r="AD33" s="1" t="s">
        <v>257</v>
      </c>
      <c r="AE33" s="1" t="s">
        <v>69</v>
      </c>
      <c r="AG33" s="1">
        <v>11392320</v>
      </c>
    </row>
    <row r="34" spans="1:33" s="1" customFormat="1" x14ac:dyDescent="0.25">
      <c r="C34" s="1" t="s">
        <v>258</v>
      </c>
      <c r="E34" s="1" t="s">
        <v>259</v>
      </c>
      <c r="F34" s="13" t="s">
        <v>6952</v>
      </c>
      <c r="G34" s="1" t="s">
        <v>260</v>
      </c>
      <c r="H34" s="1" t="s">
        <v>61</v>
      </c>
      <c r="I34" s="1">
        <v>488</v>
      </c>
      <c r="J34" s="1" t="s">
        <v>46</v>
      </c>
      <c r="K34" s="1" t="s">
        <v>261</v>
      </c>
      <c r="M34" s="1" t="s">
        <v>169</v>
      </c>
      <c r="N34" s="1" t="s">
        <v>48</v>
      </c>
      <c r="O34" s="9">
        <v>8</v>
      </c>
      <c r="P34" s="1">
        <f>ROUNDUP(1750*(1-$F$3),2)</f>
        <v>1750</v>
      </c>
      <c r="Q34" s="1" t="s">
        <v>49</v>
      </c>
      <c r="R34" s="1" t="s">
        <v>262</v>
      </c>
      <c r="S34" s="1" t="s">
        <v>263</v>
      </c>
      <c r="T34" s="9">
        <v>10</v>
      </c>
      <c r="U34" s="1">
        <f>ROUNDUP(1590.91*(1-$F$3),2)</f>
        <v>1590.91</v>
      </c>
      <c r="V34" s="1">
        <v>706</v>
      </c>
      <c r="Y34" s="1" t="s">
        <v>264</v>
      </c>
      <c r="Z34" s="1" t="s">
        <v>53</v>
      </c>
      <c r="AA34" s="12">
        <v>44635</v>
      </c>
      <c r="AB34" s="1" t="s">
        <v>95</v>
      </c>
      <c r="AC34" s="1" t="s">
        <v>96</v>
      </c>
      <c r="AD34" s="1" t="s">
        <v>97</v>
      </c>
      <c r="AE34" s="1" t="s">
        <v>69</v>
      </c>
      <c r="AG34" s="1">
        <v>10378310</v>
      </c>
    </row>
    <row r="35" spans="1:33" s="1" customFormat="1" x14ac:dyDescent="0.25">
      <c r="C35" s="1" t="s">
        <v>265</v>
      </c>
      <c r="E35" s="1" t="s">
        <v>266</v>
      </c>
      <c r="F35" s="13" t="s">
        <v>6952</v>
      </c>
      <c r="G35" s="1" t="s">
        <v>267</v>
      </c>
      <c r="H35" s="1" t="s">
        <v>160</v>
      </c>
      <c r="I35" s="1">
        <v>160</v>
      </c>
      <c r="J35" s="1" t="s">
        <v>46</v>
      </c>
      <c r="M35" s="1" t="s">
        <v>62</v>
      </c>
      <c r="N35" s="1" t="s">
        <v>48</v>
      </c>
      <c r="O35" s="9">
        <v>20</v>
      </c>
      <c r="P35" s="1">
        <f>ROUNDUP(900*(1-$F$3),2)</f>
        <v>900</v>
      </c>
      <c r="Q35" s="1" t="s">
        <v>49</v>
      </c>
      <c r="R35" s="1" t="s">
        <v>268</v>
      </c>
      <c r="S35" s="1" t="s">
        <v>269</v>
      </c>
      <c r="T35" s="9">
        <v>10</v>
      </c>
      <c r="U35" s="1">
        <f>ROUNDUP(818.18*(1-$F$3),2)</f>
        <v>818.18</v>
      </c>
      <c r="V35" s="1">
        <v>259</v>
      </c>
      <c r="Y35" s="1" t="s">
        <v>270</v>
      </c>
      <c r="Z35" s="1" t="s">
        <v>128</v>
      </c>
      <c r="AA35" s="12">
        <v>45993</v>
      </c>
      <c r="AB35" s="1" t="s">
        <v>271</v>
      </c>
      <c r="AC35" s="1" t="s">
        <v>272</v>
      </c>
      <c r="AD35" s="1" t="s">
        <v>273</v>
      </c>
      <c r="AE35" s="1" t="s">
        <v>69</v>
      </c>
      <c r="AG35" s="1">
        <v>11962330</v>
      </c>
    </row>
    <row r="36" spans="1:33" s="1" customFormat="1" x14ac:dyDescent="0.25">
      <c r="C36" s="1" t="s">
        <v>274</v>
      </c>
      <c r="E36" s="1" t="s">
        <v>275</v>
      </c>
      <c r="F36" s="13" t="s">
        <v>6952</v>
      </c>
      <c r="G36" s="1" t="s">
        <v>276</v>
      </c>
      <c r="H36" s="1" t="s">
        <v>61</v>
      </c>
      <c r="I36" s="1">
        <v>224</v>
      </c>
      <c r="J36" s="1" t="s">
        <v>46</v>
      </c>
      <c r="M36" s="1" t="s">
        <v>176</v>
      </c>
      <c r="N36" s="1" t="s">
        <v>48</v>
      </c>
      <c r="O36" s="9">
        <v>14</v>
      </c>
      <c r="P36" s="1">
        <f>ROUNDUP(970*(1-$F$3),2)</f>
        <v>970</v>
      </c>
      <c r="Q36" s="1" t="s">
        <v>49</v>
      </c>
      <c r="R36" s="1" t="s">
        <v>277</v>
      </c>
      <c r="S36" s="1" t="s">
        <v>278</v>
      </c>
      <c r="T36" s="9">
        <v>10</v>
      </c>
      <c r="U36" s="1">
        <f>ROUNDUP(881.82*(1-$F$3),2)</f>
        <v>881.82</v>
      </c>
      <c r="V36" s="1">
        <v>276</v>
      </c>
      <c r="Y36" s="1" t="s">
        <v>279</v>
      </c>
      <c r="Z36" s="1" t="s">
        <v>53</v>
      </c>
      <c r="AA36" s="12">
        <v>45393</v>
      </c>
      <c r="AB36" s="1" t="s">
        <v>66</v>
      </c>
      <c r="AC36" s="1" t="s">
        <v>77</v>
      </c>
      <c r="AD36" s="1" t="s">
        <v>78</v>
      </c>
      <c r="AE36" s="1" t="s">
        <v>69</v>
      </c>
      <c r="AG36" s="1">
        <v>11291590</v>
      </c>
    </row>
    <row r="37" spans="1:33" s="1" customFormat="1" x14ac:dyDescent="0.25">
      <c r="C37" s="1" t="s">
        <v>280</v>
      </c>
      <c r="E37" s="1" t="s">
        <v>281</v>
      </c>
      <c r="F37" s="13" t="s">
        <v>6952</v>
      </c>
      <c r="G37" s="1" t="s">
        <v>282</v>
      </c>
      <c r="H37" s="1" t="s">
        <v>61</v>
      </c>
      <c r="I37" s="1">
        <v>432</v>
      </c>
      <c r="J37" s="1" t="s">
        <v>46</v>
      </c>
      <c r="M37" s="1" t="s">
        <v>176</v>
      </c>
      <c r="N37" s="1" t="s">
        <v>48</v>
      </c>
      <c r="O37" s="9">
        <v>8</v>
      </c>
      <c r="P37" s="1">
        <f>ROUNDUP(1290*(1-$F$3),2)</f>
        <v>1290</v>
      </c>
      <c r="Q37" s="1" t="s">
        <v>49</v>
      </c>
      <c r="R37" s="1" t="s">
        <v>283</v>
      </c>
      <c r="S37" s="1" t="s">
        <v>284</v>
      </c>
      <c r="T37" s="9">
        <v>10</v>
      </c>
      <c r="U37" s="1">
        <f>ROUNDUP(1172.73*(1-$F$3),2)</f>
        <v>1172.73</v>
      </c>
      <c r="V37" s="1">
        <v>516</v>
      </c>
      <c r="Y37" s="1" t="s">
        <v>285</v>
      </c>
      <c r="Z37" s="1" t="s">
        <v>53</v>
      </c>
      <c r="AA37" s="12">
        <v>45439</v>
      </c>
      <c r="AB37" s="1" t="s">
        <v>286</v>
      </c>
      <c r="AC37" s="1" t="s">
        <v>287</v>
      </c>
      <c r="AD37" s="1" t="s">
        <v>288</v>
      </c>
      <c r="AE37" s="1" t="s">
        <v>69</v>
      </c>
      <c r="AG37" s="1">
        <v>11293150</v>
      </c>
    </row>
    <row r="38" spans="1:33" s="1" customFormat="1" x14ac:dyDescent="0.25">
      <c r="C38" s="1" t="s">
        <v>289</v>
      </c>
      <c r="E38" s="1" t="s">
        <v>290</v>
      </c>
      <c r="F38" s="13" t="s">
        <v>6952</v>
      </c>
      <c r="G38" s="1" t="s">
        <v>291</v>
      </c>
      <c r="H38" s="1" t="s">
        <v>61</v>
      </c>
      <c r="I38" s="1">
        <v>240</v>
      </c>
      <c r="J38" s="1" t="s">
        <v>46</v>
      </c>
      <c r="M38" s="1" t="s">
        <v>47</v>
      </c>
      <c r="N38" s="1" t="s">
        <v>48</v>
      </c>
      <c r="O38" s="9">
        <v>10</v>
      </c>
      <c r="P38" s="1">
        <f>ROUNDUP(1000*(1-$F$3),2)</f>
        <v>1000</v>
      </c>
      <c r="Q38" s="1" t="s">
        <v>49</v>
      </c>
      <c r="R38" s="1" t="s">
        <v>292</v>
      </c>
      <c r="S38" s="1" t="s">
        <v>293</v>
      </c>
      <c r="T38" s="9">
        <v>10</v>
      </c>
      <c r="U38" s="1">
        <f>ROUNDUP(909.09*(1-$F$3),2)</f>
        <v>909.09</v>
      </c>
      <c r="V38" s="1">
        <v>341</v>
      </c>
      <c r="Y38" s="1" t="s">
        <v>294</v>
      </c>
      <c r="Z38" s="1" t="s">
        <v>53</v>
      </c>
      <c r="AA38" s="12">
        <v>45881</v>
      </c>
      <c r="AB38" s="1" t="s">
        <v>66</v>
      </c>
      <c r="AC38" s="1" t="s">
        <v>77</v>
      </c>
      <c r="AD38" s="1" t="s">
        <v>78</v>
      </c>
      <c r="AE38" s="1" t="s">
        <v>69</v>
      </c>
      <c r="AG38" s="1">
        <v>11838520</v>
      </c>
    </row>
    <row r="39" spans="1:33" s="11" customFormat="1" x14ac:dyDescent="0.25">
      <c r="A39" s="11" t="s">
        <v>6953</v>
      </c>
      <c r="C39" s="11" t="s">
        <v>295</v>
      </c>
      <c r="E39" s="11" t="s">
        <v>296</v>
      </c>
      <c r="F39" s="14" t="s">
        <v>6952</v>
      </c>
      <c r="G39" s="11" t="s">
        <v>297</v>
      </c>
      <c r="H39" s="11" t="s">
        <v>61</v>
      </c>
      <c r="I39" s="11">
        <v>344</v>
      </c>
      <c r="J39" s="11" t="s">
        <v>46</v>
      </c>
      <c r="M39" s="11" t="s">
        <v>62</v>
      </c>
      <c r="N39" s="11" t="s">
        <v>139</v>
      </c>
      <c r="O39" s="23">
        <v>10</v>
      </c>
      <c r="P39" s="11">
        <f>ROUNDUP(950*(1-$F$3),2)</f>
        <v>950</v>
      </c>
      <c r="Q39" s="11" t="s">
        <v>49</v>
      </c>
      <c r="R39" s="11" t="s">
        <v>298</v>
      </c>
      <c r="S39" s="11" t="s">
        <v>299</v>
      </c>
      <c r="T39" s="23">
        <v>10</v>
      </c>
      <c r="U39" s="11">
        <f>ROUNDUP(863.64*(1-$F$3),2)</f>
        <v>863.64</v>
      </c>
      <c r="V39" s="11">
        <v>431</v>
      </c>
      <c r="Y39" s="11" t="s">
        <v>300</v>
      </c>
      <c r="Z39" s="11" t="s">
        <v>53</v>
      </c>
      <c r="AA39" s="15">
        <v>46119</v>
      </c>
      <c r="AB39" s="11" t="s">
        <v>66</v>
      </c>
      <c r="AC39" s="11" t="s">
        <v>77</v>
      </c>
      <c r="AD39" s="11" t="s">
        <v>78</v>
      </c>
      <c r="AE39" s="11" t="s">
        <v>69</v>
      </c>
      <c r="AG39" s="11">
        <v>12082460</v>
      </c>
    </row>
    <row r="40" spans="1:33" s="1" customFormat="1" x14ac:dyDescent="0.25">
      <c r="C40" s="1" t="s">
        <v>301</v>
      </c>
      <c r="E40" s="1" t="s">
        <v>302</v>
      </c>
      <c r="F40" s="13" t="s">
        <v>6952</v>
      </c>
      <c r="G40" s="1" t="s">
        <v>303</v>
      </c>
      <c r="H40" s="1" t="s">
        <v>61</v>
      </c>
      <c r="I40" s="1">
        <v>304</v>
      </c>
      <c r="J40" s="1" t="s">
        <v>46</v>
      </c>
      <c r="M40" s="1" t="s">
        <v>62</v>
      </c>
      <c r="N40" s="1" t="s">
        <v>48</v>
      </c>
      <c r="O40" s="9">
        <v>8</v>
      </c>
      <c r="P40" s="1">
        <f>ROUNDUP(900*(1-$F$3),2)</f>
        <v>900</v>
      </c>
      <c r="Q40" s="1" t="s">
        <v>49</v>
      </c>
      <c r="R40" s="1" t="s">
        <v>304</v>
      </c>
      <c r="S40" s="1" t="s">
        <v>305</v>
      </c>
      <c r="T40" s="9">
        <v>22</v>
      </c>
      <c r="U40" s="1">
        <f>ROUNDUP(737.7*(1-$F$3),2)</f>
        <v>737.7</v>
      </c>
      <c r="V40" s="1">
        <v>457</v>
      </c>
      <c r="Y40" s="1" t="s">
        <v>306</v>
      </c>
      <c r="Z40" s="1" t="s">
        <v>76</v>
      </c>
      <c r="AA40" s="12">
        <v>45973</v>
      </c>
      <c r="AB40" s="1" t="s">
        <v>66</v>
      </c>
      <c r="AC40" s="1" t="s">
        <v>77</v>
      </c>
      <c r="AD40" s="1" t="s">
        <v>78</v>
      </c>
      <c r="AE40" s="1" t="s">
        <v>69</v>
      </c>
      <c r="AG40" s="1">
        <v>11937280</v>
      </c>
    </row>
    <row r="41" spans="1:33" s="1" customFormat="1" x14ac:dyDescent="0.25">
      <c r="C41" s="1" t="s">
        <v>307</v>
      </c>
      <c r="E41" s="1" t="s">
        <v>308</v>
      </c>
      <c r="F41" s="13" t="s">
        <v>6952</v>
      </c>
      <c r="G41" s="1" t="s">
        <v>309</v>
      </c>
      <c r="H41" s="1" t="s">
        <v>82</v>
      </c>
      <c r="I41" s="1">
        <v>776</v>
      </c>
      <c r="J41" s="1" t="s">
        <v>46</v>
      </c>
      <c r="M41" s="1" t="s">
        <v>62</v>
      </c>
      <c r="N41" s="1" t="s">
        <v>48</v>
      </c>
      <c r="O41" s="9">
        <v>4</v>
      </c>
      <c r="P41" s="1">
        <f>ROUNDUP(2670*(1-$F$3),2)</f>
        <v>2670</v>
      </c>
      <c r="Q41" s="1" t="s">
        <v>49</v>
      </c>
      <c r="R41" s="1" t="s">
        <v>310</v>
      </c>
      <c r="S41" s="1" t="s">
        <v>311</v>
      </c>
      <c r="T41" s="9">
        <v>10</v>
      </c>
      <c r="U41" s="1">
        <f>ROUNDUP(2427.27*(1-$F$3),2)</f>
        <v>2427.27</v>
      </c>
      <c r="V41" s="1">
        <v>1151</v>
      </c>
      <c r="Y41" s="1" t="s">
        <v>312</v>
      </c>
      <c r="Z41" s="1" t="s">
        <v>128</v>
      </c>
      <c r="AA41" s="12">
        <v>45552</v>
      </c>
      <c r="AB41" s="1" t="s">
        <v>95</v>
      </c>
      <c r="AC41" s="1" t="s">
        <v>313</v>
      </c>
      <c r="AD41" s="1" t="s">
        <v>314</v>
      </c>
      <c r="AE41" s="1" t="s">
        <v>69</v>
      </c>
      <c r="AG41" s="1">
        <v>11428720</v>
      </c>
    </row>
    <row r="42" spans="1:33" s="1" customFormat="1" x14ac:dyDescent="0.25">
      <c r="C42" s="1" t="s">
        <v>315</v>
      </c>
      <c r="E42" s="1" t="s">
        <v>316</v>
      </c>
      <c r="F42" s="13" t="s">
        <v>6952</v>
      </c>
      <c r="H42" s="1" t="s">
        <v>160</v>
      </c>
      <c r="I42" s="1">
        <v>78</v>
      </c>
      <c r="J42" s="1" t="s">
        <v>46</v>
      </c>
      <c r="M42" s="1" t="s">
        <v>169</v>
      </c>
      <c r="N42" s="1" t="s">
        <v>48</v>
      </c>
      <c r="O42" s="9">
        <v>42</v>
      </c>
      <c r="P42" s="1">
        <f>ROUNDUP(1751.9*(1-$F$3),2)</f>
        <v>1751.9</v>
      </c>
      <c r="Q42" s="1" t="s">
        <v>49</v>
      </c>
      <c r="R42" s="1" t="s">
        <v>317</v>
      </c>
      <c r="S42" s="1" t="s">
        <v>318</v>
      </c>
      <c r="T42" s="9">
        <v>22</v>
      </c>
      <c r="U42" s="1">
        <f>ROUNDUP(1435.98*(1-$F$3),2)</f>
        <v>1435.98</v>
      </c>
      <c r="V42" s="1">
        <v>188</v>
      </c>
      <c r="Y42" s="1" t="s">
        <v>319</v>
      </c>
      <c r="Z42" s="1" t="s">
        <v>53</v>
      </c>
      <c r="AA42" s="12">
        <v>44728</v>
      </c>
      <c r="AB42" s="1" t="s">
        <v>286</v>
      </c>
      <c r="AC42" s="1" t="s">
        <v>320</v>
      </c>
      <c r="AD42" s="1" t="s">
        <v>321</v>
      </c>
      <c r="AE42" s="1" t="s">
        <v>322</v>
      </c>
      <c r="AG42" s="1">
        <v>10452500</v>
      </c>
    </row>
    <row r="43" spans="1:33" s="1" customFormat="1" x14ac:dyDescent="0.25">
      <c r="C43" s="1" t="s">
        <v>323</v>
      </c>
      <c r="E43" s="1" t="s">
        <v>324</v>
      </c>
      <c r="F43" s="13" t="s">
        <v>6952</v>
      </c>
      <c r="G43" s="1" t="s">
        <v>325</v>
      </c>
      <c r="H43" s="1" t="s">
        <v>61</v>
      </c>
      <c r="I43" s="1">
        <v>1312</v>
      </c>
      <c r="J43" s="1" t="s">
        <v>46</v>
      </c>
      <c r="M43" s="1" t="s">
        <v>176</v>
      </c>
      <c r="N43" s="1" t="s">
        <v>48</v>
      </c>
      <c r="O43" s="9"/>
      <c r="P43" s="1">
        <f>ROUNDUP(2580*(1-$F$3),2)</f>
        <v>2580</v>
      </c>
      <c r="Q43" s="1" t="s">
        <v>49</v>
      </c>
      <c r="R43" s="1" t="s">
        <v>326</v>
      </c>
      <c r="S43" s="1" t="s">
        <v>327</v>
      </c>
      <c r="T43" s="9">
        <v>10</v>
      </c>
      <c r="U43" s="1">
        <f>ROUNDUP(2345.45*(1-$F$3),2)</f>
        <v>2345.4499999999998</v>
      </c>
      <c r="V43" s="1">
        <v>1186</v>
      </c>
      <c r="Y43" s="1" t="s">
        <v>328</v>
      </c>
      <c r="Z43" s="1" t="s">
        <v>128</v>
      </c>
      <c r="AA43" s="12">
        <v>45446</v>
      </c>
      <c r="AB43" s="1" t="s">
        <v>66</v>
      </c>
      <c r="AC43" s="1" t="s">
        <v>67</v>
      </c>
      <c r="AD43" s="1" t="s">
        <v>68</v>
      </c>
      <c r="AE43" s="1" t="s">
        <v>69</v>
      </c>
      <c r="AG43" s="1">
        <v>11375830</v>
      </c>
    </row>
    <row r="44" spans="1:33" s="1" customFormat="1" x14ac:dyDescent="0.25">
      <c r="C44" s="1" t="s">
        <v>329</v>
      </c>
      <c r="E44" s="1" t="s">
        <v>330</v>
      </c>
      <c r="F44" s="13" t="s">
        <v>6952</v>
      </c>
      <c r="G44" s="1" t="s">
        <v>44</v>
      </c>
      <c r="H44" s="1" t="s">
        <v>61</v>
      </c>
      <c r="I44" s="1">
        <v>704</v>
      </c>
      <c r="J44" s="1" t="s">
        <v>46</v>
      </c>
      <c r="M44" s="1" t="s">
        <v>62</v>
      </c>
      <c r="N44" s="1" t="s">
        <v>48</v>
      </c>
      <c r="O44" s="9">
        <v>4</v>
      </c>
      <c r="P44" s="1">
        <f>ROUNDUP(2490*(1-$F$3),2)</f>
        <v>2490</v>
      </c>
      <c r="Q44" s="1" t="s">
        <v>49</v>
      </c>
      <c r="R44" s="1" t="s">
        <v>331</v>
      </c>
      <c r="S44" s="1" t="s">
        <v>332</v>
      </c>
      <c r="T44" s="9">
        <v>22</v>
      </c>
      <c r="U44" s="1">
        <f>ROUNDUP(2040.98*(1-$F$3),2)</f>
        <v>2040.98</v>
      </c>
      <c r="V44" s="1">
        <v>922</v>
      </c>
      <c r="Y44" s="1" t="s">
        <v>333</v>
      </c>
      <c r="Z44" s="1" t="s">
        <v>76</v>
      </c>
      <c r="AA44" s="12">
        <v>45895</v>
      </c>
      <c r="AB44" s="1" t="s">
        <v>334</v>
      </c>
      <c r="AC44" s="1" t="s">
        <v>335</v>
      </c>
      <c r="AD44" s="1" t="s">
        <v>336</v>
      </c>
      <c r="AE44" s="1" t="s">
        <v>69</v>
      </c>
      <c r="AG44" s="1">
        <v>11862610</v>
      </c>
    </row>
    <row r="45" spans="1:33" s="1" customFormat="1" x14ac:dyDescent="0.25">
      <c r="C45" s="1" t="s">
        <v>337</v>
      </c>
      <c r="E45" s="1" t="s">
        <v>338</v>
      </c>
      <c r="F45" s="13" t="s">
        <v>6952</v>
      </c>
      <c r="G45" s="1" t="s">
        <v>339</v>
      </c>
      <c r="H45" s="1" t="s">
        <v>61</v>
      </c>
      <c r="I45" s="1">
        <v>1936</v>
      </c>
      <c r="J45" s="1" t="s">
        <v>46</v>
      </c>
      <c r="M45" s="1" t="s">
        <v>161</v>
      </c>
      <c r="N45" s="1" t="s">
        <v>48</v>
      </c>
      <c r="O45" s="9"/>
      <c r="P45" s="1">
        <f>ROUNDUP(2700*(1-$F$3),2)</f>
        <v>2700</v>
      </c>
      <c r="Q45" s="1" t="s">
        <v>49</v>
      </c>
      <c r="R45" s="1" t="s">
        <v>340</v>
      </c>
      <c r="S45" s="1" t="s">
        <v>341</v>
      </c>
      <c r="T45" s="9">
        <v>10</v>
      </c>
      <c r="U45" s="1">
        <f>ROUNDUP(2454.55*(1-$F$3),2)</f>
        <v>2454.5500000000002</v>
      </c>
      <c r="V45" s="1">
        <v>2527</v>
      </c>
      <c r="Y45" s="1" t="s">
        <v>342</v>
      </c>
      <c r="Z45" s="1" t="s">
        <v>76</v>
      </c>
      <c r="AA45" s="12">
        <v>45814</v>
      </c>
      <c r="AB45" s="1" t="s">
        <v>66</v>
      </c>
      <c r="AC45" s="1" t="s">
        <v>120</v>
      </c>
      <c r="AD45" s="1" t="s">
        <v>343</v>
      </c>
      <c r="AE45" s="1" t="s">
        <v>69</v>
      </c>
      <c r="AG45" s="1">
        <v>11782500</v>
      </c>
    </row>
    <row r="46" spans="1:33" s="1" customFormat="1" x14ac:dyDescent="0.25">
      <c r="C46" s="1" t="s">
        <v>344</v>
      </c>
      <c r="E46" s="1" t="s">
        <v>345</v>
      </c>
      <c r="F46" s="13" t="s">
        <v>6952</v>
      </c>
      <c r="G46" s="1" t="s">
        <v>346</v>
      </c>
      <c r="H46" s="1" t="s">
        <v>61</v>
      </c>
      <c r="I46" s="1">
        <v>352</v>
      </c>
      <c r="J46" s="1" t="s">
        <v>46</v>
      </c>
      <c r="M46" s="1" t="s">
        <v>47</v>
      </c>
      <c r="N46" s="1" t="s">
        <v>48</v>
      </c>
      <c r="O46" s="9">
        <v>8</v>
      </c>
      <c r="P46" s="1">
        <f>ROUNDUP(1160*(1-$F$3),2)</f>
        <v>1160</v>
      </c>
      <c r="Q46" s="1" t="s">
        <v>49</v>
      </c>
      <c r="R46" s="1" t="s">
        <v>347</v>
      </c>
      <c r="S46" s="1" t="s">
        <v>348</v>
      </c>
      <c r="T46" s="9">
        <v>10</v>
      </c>
      <c r="U46" s="1">
        <f>ROUNDUP(1054.55*(1-$F$3),2)</f>
        <v>1054.55</v>
      </c>
      <c r="V46" s="1">
        <v>461</v>
      </c>
      <c r="Y46" s="1" t="s">
        <v>349</v>
      </c>
      <c r="Z46" s="1" t="s">
        <v>128</v>
      </c>
      <c r="AA46" s="12">
        <v>45868</v>
      </c>
      <c r="AB46" s="1" t="s">
        <v>234</v>
      </c>
      <c r="AC46" s="1" t="s">
        <v>235</v>
      </c>
      <c r="AD46" s="1" t="s">
        <v>350</v>
      </c>
      <c r="AE46" s="1" t="s">
        <v>69</v>
      </c>
      <c r="AG46" s="1">
        <v>11791740</v>
      </c>
    </row>
    <row r="47" spans="1:33" s="1" customFormat="1" x14ac:dyDescent="0.25">
      <c r="C47" s="1" t="s">
        <v>351</v>
      </c>
      <c r="E47" s="1" t="s">
        <v>352</v>
      </c>
      <c r="F47" s="13" t="s">
        <v>6952</v>
      </c>
      <c r="G47" s="1" t="s">
        <v>353</v>
      </c>
      <c r="H47" s="1" t="s">
        <v>61</v>
      </c>
      <c r="I47" s="1">
        <v>800</v>
      </c>
      <c r="J47" s="1" t="s">
        <v>46</v>
      </c>
      <c r="M47" s="1" t="s">
        <v>169</v>
      </c>
      <c r="N47" s="1" t="s">
        <v>48</v>
      </c>
      <c r="O47" s="9">
        <v>6</v>
      </c>
      <c r="P47" s="1">
        <f>ROUNDUP(2320*(1-$F$3),2)</f>
        <v>2320</v>
      </c>
      <c r="Q47" s="1" t="s">
        <v>49</v>
      </c>
      <c r="R47" s="1" t="s">
        <v>354</v>
      </c>
      <c r="S47" s="1" t="s">
        <v>355</v>
      </c>
      <c r="T47" s="9">
        <v>10</v>
      </c>
      <c r="U47" s="1">
        <f>ROUNDUP(2109.09*(1-$F$3),2)</f>
        <v>2109.09</v>
      </c>
      <c r="V47" s="1">
        <v>927</v>
      </c>
      <c r="Y47" s="1" t="s">
        <v>356</v>
      </c>
      <c r="Z47" s="1" t="s">
        <v>53</v>
      </c>
      <c r="AA47" s="12">
        <v>44676</v>
      </c>
      <c r="AB47" s="1" t="s">
        <v>334</v>
      </c>
      <c r="AC47" s="1" t="s">
        <v>335</v>
      </c>
      <c r="AD47" s="1" t="s">
        <v>357</v>
      </c>
      <c r="AE47" s="1" t="s">
        <v>69</v>
      </c>
      <c r="AG47" s="1">
        <v>10426170</v>
      </c>
    </row>
    <row r="48" spans="1:33" s="1" customFormat="1" x14ac:dyDescent="0.25">
      <c r="C48" s="1" t="s">
        <v>358</v>
      </c>
      <c r="E48" s="1" t="s">
        <v>359</v>
      </c>
      <c r="F48" s="13" t="s">
        <v>6952</v>
      </c>
      <c r="G48" s="1" t="s">
        <v>353</v>
      </c>
      <c r="H48" s="1" t="s">
        <v>61</v>
      </c>
      <c r="I48" s="1">
        <v>416</v>
      </c>
      <c r="J48" s="1" t="s">
        <v>46</v>
      </c>
      <c r="M48" s="1" t="s">
        <v>62</v>
      </c>
      <c r="N48" s="1" t="s">
        <v>48</v>
      </c>
      <c r="O48" s="9">
        <v>5</v>
      </c>
      <c r="P48" s="1">
        <f>ROUNDUP(1560*(1-$F$3),2)</f>
        <v>1560</v>
      </c>
      <c r="Q48" s="1" t="s">
        <v>49</v>
      </c>
      <c r="R48" s="1" t="s">
        <v>360</v>
      </c>
      <c r="S48" s="1" t="s">
        <v>361</v>
      </c>
      <c r="T48" s="9">
        <v>10</v>
      </c>
      <c r="U48" s="1">
        <f>ROUNDUP(1418.18*(1-$F$3),2)</f>
        <v>1418.18</v>
      </c>
      <c r="V48" s="1">
        <v>589</v>
      </c>
      <c r="Y48" s="1" t="s">
        <v>362</v>
      </c>
      <c r="Z48" s="1" t="s">
        <v>53</v>
      </c>
      <c r="AA48" s="12">
        <v>46002</v>
      </c>
      <c r="AB48" s="1" t="s">
        <v>334</v>
      </c>
      <c r="AC48" s="1" t="s">
        <v>335</v>
      </c>
      <c r="AD48" s="1" t="s">
        <v>357</v>
      </c>
      <c r="AE48" s="1" t="s">
        <v>69</v>
      </c>
      <c r="AG48" s="1">
        <v>11964960</v>
      </c>
    </row>
    <row r="49" spans="1:33" s="1" customFormat="1" x14ac:dyDescent="0.25">
      <c r="C49" s="1" t="s">
        <v>363</v>
      </c>
      <c r="E49" s="1" t="s">
        <v>364</v>
      </c>
      <c r="F49" s="13" t="s">
        <v>6952</v>
      </c>
      <c r="G49" s="1" t="s">
        <v>365</v>
      </c>
      <c r="H49" s="1" t="s">
        <v>160</v>
      </c>
      <c r="I49" s="1">
        <v>384</v>
      </c>
      <c r="J49" s="1" t="s">
        <v>46</v>
      </c>
      <c r="M49" s="1" t="s">
        <v>47</v>
      </c>
      <c r="N49" s="1" t="s">
        <v>48</v>
      </c>
      <c r="O49" s="9">
        <v>5</v>
      </c>
      <c r="P49" s="1">
        <f>ROUNDUP(1270*(1-$F$3),2)</f>
        <v>1270</v>
      </c>
      <c r="Q49" s="1" t="s">
        <v>49</v>
      </c>
      <c r="R49" s="1" t="s">
        <v>366</v>
      </c>
      <c r="S49" s="1" t="s">
        <v>367</v>
      </c>
      <c r="T49" s="9">
        <v>22</v>
      </c>
      <c r="U49" s="1">
        <f>ROUNDUP(1040.98*(1-$F$3),2)</f>
        <v>1040.98</v>
      </c>
      <c r="V49" s="1">
        <v>418</v>
      </c>
      <c r="Y49" s="1" t="s">
        <v>368</v>
      </c>
      <c r="Z49" s="1" t="s">
        <v>76</v>
      </c>
      <c r="AA49" s="12">
        <v>45526</v>
      </c>
      <c r="AB49" s="1" t="s">
        <v>66</v>
      </c>
      <c r="AC49" s="1" t="s">
        <v>120</v>
      </c>
      <c r="AD49" s="1" t="s">
        <v>343</v>
      </c>
      <c r="AE49" s="1" t="s">
        <v>69</v>
      </c>
      <c r="AG49" s="1">
        <v>11419990</v>
      </c>
    </row>
    <row r="50" spans="1:33" s="1" customFormat="1" x14ac:dyDescent="0.25">
      <c r="C50" s="1" t="s">
        <v>369</v>
      </c>
      <c r="E50" s="1" t="s">
        <v>370</v>
      </c>
      <c r="F50" s="13" t="s">
        <v>6952</v>
      </c>
      <c r="G50" s="1" t="s">
        <v>371</v>
      </c>
      <c r="H50" s="1" t="s">
        <v>61</v>
      </c>
      <c r="I50" s="1">
        <v>384</v>
      </c>
      <c r="J50" s="1" t="s">
        <v>46</v>
      </c>
      <c r="M50" s="1" t="s">
        <v>62</v>
      </c>
      <c r="N50" s="1" t="s">
        <v>48</v>
      </c>
      <c r="O50" s="9">
        <v>8</v>
      </c>
      <c r="P50" s="1">
        <f>ROUNDUP(1190*(1-$F$3),2)</f>
        <v>1190</v>
      </c>
      <c r="Q50" s="1" t="s">
        <v>49</v>
      </c>
      <c r="R50" s="1" t="s">
        <v>372</v>
      </c>
      <c r="S50" s="1" t="s">
        <v>373</v>
      </c>
      <c r="T50" s="9">
        <v>22</v>
      </c>
      <c r="U50" s="1">
        <f>ROUNDUP(975.41*(1-$F$3),2)</f>
        <v>975.41</v>
      </c>
      <c r="V50" s="1">
        <v>474</v>
      </c>
      <c r="Y50" s="1" t="s">
        <v>374</v>
      </c>
      <c r="Z50" s="1" t="s">
        <v>76</v>
      </c>
      <c r="AA50" s="12">
        <v>46057</v>
      </c>
      <c r="AB50" s="1" t="s">
        <v>66</v>
      </c>
      <c r="AC50" s="1" t="s">
        <v>77</v>
      </c>
      <c r="AD50" s="1" t="s">
        <v>78</v>
      </c>
      <c r="AE50" s="1" t="s">
        <v>69</v>
      </c>
      <c r="AG50" s="1">
        <v>12015860</v>
      </c>
    </row>
    <row r="51" spans="1:33" s="1" customFormat="1" x14ac:dyDescent="0.25">
      <c r="C51" s="1" t="s">
        <v>375</v>
      </c>
      <c r="E51" s="1" t="s">
        <v>376</v>
      </c>
      <c r="F51" s="13" t="s">
        <v>6952</v>
      </c>
      <c r="G51" s="1" t="s">
        <v>377</v>
      </c>
      <c r="H51" s="1" t="s">
        <v>61</v>
      </c>
      <c r="I51" s="1">
        <v>264</v>
      </c>
      <c r="J51" s="1" t="s">
        <v>46</v>
      </c>
      <c r="M51" s="1" t="s">
        <v>47</v>
      </c>
      <c r="N51" s="1" t="s">
        <v>48</v>
      </c>
      <c r="O51" s="9">
        <v>6</v>
      </c>
      <c r="P51" s="1">
        <f>ROUNDUP(1100*(1-$F$3),2)</f>
        <v>1100</v>
      </c>
      <c r="Q51" s="1" t="s">
        <v>49</v>
      </c>
      <c r="R51" s="1" t="s">
        <v>378</v>
      </c>
      <c r="S51" s="1" t="s">
        <v>379</v>
      </c>
      <c r="T51" s="9">
        <v>10</v>
      </c>
      <c r="U51" s="1">
        <f>ROUNDUP(1000*(1-$F$3),2)</f>
        <v>1000</v>
      </c>
      <c r="V51" s="1">
        <v>321</v>
      </c>
      <c r="Y51" s="1" t="s">
        <v>380</v>
      </c>
      <c r="Z51" s="1" t="s">
        <v>53</v>
      </c>
      <c r="AA51" s="12">
        <v>45553</v>
      </c>
      <c r="AB51" s="1" t="s">
        <v>66</v>
      </c>
      <c r="AC51" s="1" t="s">
        <v>77</v>
      </c>
      <c r="AD51" s="1" t="s">
        <v>78</v>
      </c>
      <c r="AE51" s="1" t="s">
        <v>69</v>
      </c>
      <c r="AG51" s="1">
        <v>11463080</v>
      </c>
    </row>
    <row r="52" spans="1:33" s="1" customFormat="1" x14ac:dyDescent="0.25">
      <c r="C52" s="1" t="s">
        <v>381</v>
      </c>
      <c r="E52" s="1" t="s">
        <v>382</v>
      </c>
      <c r="F52" s="13" t="s">
        <v>6952</v>
      </c>
      <c r="G52" s="1" t="s">
        <v>383</v>
      </c>
      <c r="H52" s="1" t="s">
        <v>384</v>
      </c>
      <c r="I52" s="1">
        <v>10</v>
      </c>
      <c r="J52" s="1" t="s">
        <v>46</v>
      </c>
      <c r="M52" s="1" t="s">
        <v>161</v>
      </c>
      <c r="N52" s="1" t="s">
        <v>48</v>
      </c>
      <c r="O52" s="9"/>
      <c r="P52" s="1">
        <f>ROUNDUP(380*(1-$F$3),2)</f>
        <v>380</v>
      </c>
      <c r="Q52" s="1" t="s">
        <v>49</v>
      </c>
      <c r="R52" s="1" t="s">
        <v>385</v>
      </c>
      <c r="S52" s="1" t="s">
        <v>386</v>
      </c>
      <c r="T52" s="9">
        <v>22</v>
      </c>
      <c r="U52" s="1">
        <f>ROUNDUP(311.48*(1-$F$3),2)</f>
        <v>311.48</v>
      </c>
      <c r="V52" s="1">
        <v>0</v>
      </c>
      <c r="Y52" s="1" t="s">
        <v>387</v>
      </c>
      <c r="Z52" s="1" t="s">
        <v>128</v>
      </c>
      <c r="AA52" s="12">
        <v>45253</v>
      </c>
      <c r="AB52" s="1" t="s">
        <v>66</v>
      </c>
      <c r="AC52" s="1" t="s">
        <v>388</v>
      </c>
      <c r="AD52" s="1" t="s">
        <v>49</v>
      </c>
      <c r="AE52" s="1" t="s">
        <v>57</v>
      </c>
      <c r="AG52" s="1">
        <v>11136510</v>
      </c>
    </row>
    <row r="53" spans="1:33" s="1" customFormat="1" x14ac:dyDescent="0.25">
      <c r="C53" s="1" t="s">
        <v>389</v>
      </c>
      <c r="E53" s="1" t="s">
        <v>390</v>
      </c>
      <c r="F53" s="13" t="s">
        <v>6952</v>
      </c>
      <c r="G53" s="1" t="s">
        <v>391</v>
      </c>
      <c r="H53" s="1" t="s">
        <v>61</v>
      </c>
      <c r="I53" s="1">
        <v>896</v>
      </c>
      <c r="J53" s="1" t="s">
        <v>46</v>
      </c>
      <c r="M53" s="1" t="s">
        <v>62</v>
      </c>
      <c r="N53" s="1" t="s">
        <v>48</v>
      </c>
      <c r="O53" s="9"/>
      <c r="P53" s="1">
        <f>ROUNDUP(2010*(1-$F$3),2)</f>
        <v>2010</v>
      </c>
      <c r="Q53" s="1" t="s">
        <v>49</v>
      </c>
      <c r="R53" s="1" t="s">
        <v>392</v>
      </c>
      <c r="S53" s="1" t="s">
        <v>393</v>
      </c>
      <c r="T53" s="9">
        <v>22</v>
      </c>
      <c r="U53" s="1">
        <f>ROUNDUP(1647.54*(1-$F$3),2)</f>
        <v>1647.54</v>
      </c>
      <c r="V53" s="1">
        <v>941</v>
      </c>
      <c r="Y53" s="1" t="s">
        <v>394</v>
      </c>
      <c r="Z53" s="1" t="s">
        <v>76</v>
      </c>
      <c r="AA53" s="12">
        <v>45721</v>
      </c>
      <c r="AB53" s="1" t="s">
        <v>66</v>
      </c>
      <c r="AC53" s="1" t="s">
        <v>120</v>
      </c>
      <c r="AD53" s="1" t="s">
        <v>343</v>
      </c>
      <c r="AE53" s="1" t="s">
        <v>69</v>
      </c>
      <c r="AG53" s="1">
        <v>11680470</v>
      </c>
    </row>
    <row r="54" spans="1:33" s="1" customFormat="1" x14ac:dyDescent="0.25">
      <c r="C54" s="1" t="s">
        <v>395</v>
      </c>
      <c r="E54" s="1" t="s">
        <v>396</v>
      </c>
      <c r="F54" s="13" t="s">
        <v>6952</v>
      </c>
      <c r="G54" s="1" t="s">
        <v>397</v>
      </c>
      <c r="H54" s="1" t="s">
        <v>61</v>
      </c>
      <c r="I54" s="1">
        <v>224</v>
      </c>
      <c r="J54" s="1" t="s">
        <v>46</v>
      </c>
      <c r="M54" s="1" t="s">
        <v>47</v>
      </c>
      <c r="N54" s="1" t="s">
        <v>48</v>
      </c>
      <c r="O54" s="9">
        <v>5</v>
      </c>
      <c r="P54" s="1">
        <f>ROUNDUP(1210*(1-$F$3),2)</f>
        <v>1210</v>
      </c>
      <c r="Q54" s="1" t="s">
        <v>49</v>
      </c>
      <c r="R54" s="1" t="s">
        <v>398</v>
      </c>
      <c r="S54" s="1" t="s">
        <v>399</v>
      </c>
      <c r="T54" s="9">
        <v>10</v>
      </c>
      <c r="U54" s="1">
        <f>ROUNDUP(1100*(1-$F$3),2)</f>
        <v>1100</v>
      </c>
      <c r="V54" s="1">
        <v>341</v>
      </c>
      <c r="Y54" s="1" t="s">
        <v>400</v>
      </c>
      <c r="Z54" s="1" t="s">
        <v>128</v>
      </c>
      <c r="AA54" s="12">
        <v>45756</v>
      </c>
      <c r="AB54" s="1" t="s">
        <v>86</v>
      </c>
      <c r="AC54" s="1" t="s">
        <v>401</v>
      </c>
      <c r="AD54" s="1" t="s">
        <v>402</v>
      </c>
      <c r="AE54" s="1" t="s">
        <v>69</v>
      </c>
      <c r="AG54" s="1">
        <v>11719420</v>
      </c>
    </row>
    <row r="55" spans="1:33" s="11" customFormat="1" x14ac:dyDescent="0.25">
      <c r="A55" s="11" t="s">
        <v>6953</v>
      </c>
      <c r="C55" s="11" t="s">
        <v>403</v>
      </c>
      <c r="E55" s="11" t="s">
        <v>404</v>
      </c>
      <c r="F55" s="14" t="s">
        <v>6952</v>
      </c>
      <c r="G55" s="11" t="s">
        <v>405</v>
      </c>
      <c r="H55" s="11" t="s">
        <v>61</v>
      </c>
      <c r="I55" s="11">
        <v>192</v>
      </c>
      <c r="J55" s="11" t="s">
        <v>46</v>
      </c>
      <c r="M55" s="11" t="s">
        <v>62</v>
      </c>
      <c r="N55" s="11" t="s">
        <v>48</v>
      </c>
      <c r="O55" s="23">
        <v>10</v>
      </c>
      <c r="P55" s="11">
        <f>ROUNDUP(1000*(1-$F$3),2)</f>
        <v>1000</v>
      </c>
      <c r="Q55" s="11" t="s">
        <v>49</v>
      </c>
      <c r="R55" s="11" t="s">
        <v>406</v>
      </c>
      <c r="S55" s="11" t="s">
        <v>407</v>
      </c>
      <c r="T55" s="23">
        <v>10</v>
      </c>
      <c r="U55" s="11">
        <f>ROUNDUP(909.09*(1-$F$3),2)</f>
        <v>909.09</v>
      </c>
      <c r="V55" s="11">
        <v>336</v>
      </c>
      <c r="Y55" s="11" t="s">
        <v>408</v>
      </c>
      <c r="Z55" s="11" t="s">
        <v>128</v>
      </c>
      <c r="AA55" s="15">
        <v>45784</v>
      </c>
      <c r="AB55" s="11" t="s">
        <v>66</v>
      </c>
      <c r="AC55" s="11" t="s">
        <v>77</v>
      </c>
      <c r="AD55" s="11" t="s">
        <v>78</v>
      </c>
      <c r="AE55" s="11" t="s">
        <v>69</v>
      </c>
      <c r="AG55" s="11">
        <v>11742370</v>
      </c>
    </row>
    <row r="56" spans="1:33" s="1" customFormat="1" x14ac:dyDescent="0.25">
      <c r="C56" s="1" t="s">
        <v>409</v>
      </c>
      <c r="E56" s="1" t="s">
        <v>410</v>
      </c>
      <c r="F56" s="13" t="s">
        <v>6952</v>
      </c>
      <c r="G56" s="1" t="s">
        <v>411</v>
      </c>
      <c r="H56" s="1" t="s">
        <v>82</v>
      </c>
      <c r="I56" s="1">
        <v>512</v>
      </c>
      <c r="J56" s="1" t="s">
        <v>46</v>
      </c>
      <c r="M56" s="1" t="s">
        <v>47</v>
      </c>
      <c r="N56" s="1" t="s">
        <v>48</v>
      </c>
      <c r="O56" s="9">
        <v>4</v>
      </c>
      <c r="P56" s="1">
        <f>ROUNDUP(2470*(1-$F$3),2)</f>
        <v>2470</v>
      </c>
      <c r="Q56" s="1" t="s">
        <v>49</v>
      </c>
      <c r="R56" s="1" t="s">
        <v>412</v>
      </c>
      <c r="S56" s="1" t="s">
        <v>413</v>
      </c>
      <c r="T56" s="9">
        <v>10</v>
      </c>
      <c r="U56" s="1">
        <f>ROUNDUP(2245.45*(1-$F$3),2)</f>
        <v>2245.4499999999998</v>
      </c>
      <c r="V56" s="1">
        <v>971</v>
      </c>
      <c r="Y56" s="1" t="s">
        <v>414</v>
      </c>
      <c r="Z56" s="1" t="s">
        <v>53</v>
      </c>
      <c r="AA56" s="12">
        <v>45839</v>
      </c>
      <c r="AB56" s="1" t="s">
        <v>86</v>
      </c>
      <c r="AC56" s="1" t="s">
        <v>87</v>
      </c>
      <c r="AD56" s="1" t="s">
        <v>415</v>
      </c>
      <c r="AE56" s="1" t="s">
        <v>69</v>
      </c>
      <c r="AG56" s="1">
        <v>11758150</v>
      </c>
    </row>
    <row r="57" spans="1:33" s="1" customFormat="1" x14ac:dyDescent="0.25">
      <c r="C57" s="1" t="s">
        <v>416</v>
      </c>
      <c r="E57" s="1" t="s">
        <v>417</v>
      </c>
      <c r="F57" s="13" t="s">
        <v>6952</v>
      </c>
      <c r="G57" s="1" t="s">
        <v>411</v>
      </c>
      <c r="H57" s="1" t="s">
        <v>82</v>
      </c>
      <c r="I57" s="1">
        <v>512</v>
      </c>
      <c r="J57" s="1" t="s">
        <v>46</v>
      </c>
      <c r="M57" s="1" t="s">
        <v>47</v>
      </c>
      <c r="N57" s="1" t="s">
        <v>48</v>
      </c>
      <c r="O57" s="9">
        <v>4</v>
      </c>
      <c r="P57" s="1">
        <f>ROUNDUP(2050*(1-$F$3),2)</f>
        <v>2050</v>
      </c>
      <c r="Q57" s="1" t="s">
        <v>49</v>
      </c>
      <c r="R57" s="1" t="s">
        <v>418</v>
      </c>
      <c r="S57" s="1" t="s">
        <v>419</v>
      </c>
      <c r="T57" s="9">
        <v>10</v>
      </c>
      <c r="U57" s="1">
        <f>ROUNDUP(1863.64*(1-$F$3),2)</f>
        <v>1863.64</v>
      </c>
      <c r="V57" s="1">
        <v>934</v>
      </c>
      <c r="Y57" s="1" t="s">
        <v>420</v>
      </c>
      <c r="Z57" s="1" t="s">
        <v>53</v>
      </c>
      <c r="AA57" s="12">
        <v>45854</v>
      </c>
      <c r="AB57" s="1" t="s">
        <v>86</v>
      </c>
      <c r="AC57" s="1" t="s">
        <v>87</v>
      </c>
      <c r="AD57" s="1" t="s">
        <v>415</v>
      </c>
      <c r="AE57" s="1" t="s">
        <v>69</v>
      </c>
      <c r="AG57" s="1">
        <v>11815780</v>
      </c>
    </row>
    <row r="58" spans="1:33" s="1" customFormat="1" x14ac:dyDescent="0.25">
      <c r="C58" s="1" t="s">
        <v>421</v>
      </c>
      <c r="E58" s="1" t="s">
        <v>422</v>
      </c>
      <c r="F58" s="13" t="s">
        <v>6952</v>
      </c>
      <c r="G58" s="1" t="s">
        <v>423</v>
      </c>
      <c r="H58" s="1" t="s">
        <v>61</v>
      </c>
      <c r="I58" s="1">
        <v>1474</v>
      </c>
      <c r="J58" s="1" t="s">
        <v>46</v>
      </c>
      <c r="M58" s="1" t="s">
        <v>47</v>
      </c>
      <c r="N58" s="1" t="s">
        <v>48</v>
      </c>
      <c r="O58" s="9"/>
      <c r="P58" s="1">
        <f>ROUNDUP(4420*(1-$F$3),2)</f>
        <v>4420</v>
      </c>
      <c r="Q58" s="1" t="s">
        <v>49</v>
      </c>
      <c r="R58" s="1" t="s">
        <v>424</v>
      </c>
      <c r="S58" s="1" t="s">
        <v>425</v>
      </c>
      <c r="T58" s="9">
        <v>10</v>
      </c>
      <c r="U58" s="1">
        <f>ROUNDUP(4018.18*(1-$F$3),2)</f>
        <v>4018.18</v>
      </c>
      <c r="V58" s="1">
        <v>1733</v>
      </c>
      <c r="Y58" s="1" t="s">
        <v>426</v>
      </c>
      <c r="Z58" s="1" t="s">
        <v>53</v>
      </c>
      <c r="AA58" s="12">
        <v>45721</v>
      </c>
      <c r="AB58" s="1" t="s">
        <v>66</v>
      </c>
      <c r="AC58" s="1" t="s">
        <v>143</v>
      </c>
      <c r="AD58" s="1" t="s">
        <v>144</v>
      </c>
      <c r="AE58" s="1" t="s">
        <v>69</v>
      </c>
      <c r="AG58" s="1">
        <v>11680500</v>
      </c>
    </row>
    <row r="59" spans="1:33" s="1" customFormat="1" x14ac:dyDescent="0.25">
      <c r="C59" s="1" t="s">
        <v>427</v>
      </c>
      <c r="E59" s="1" t="s">
        <v>428</v>
      </c>
      <c r="F59" s="13" t="s">
        <v>6952</v>
      </c>
      <c r="G59" s="1" t="s">
        <v>429</v>
      </c>
      <c r="H59" s="1" t="s">
        <v>160</v>
      </c>
      <c r="I59" s="1">
        <v>1298</v>
      </c>
      <c r="J59" s="1" t="s">
        <v>46</v>
      </c>
      <c r="M59" s="1" t="s">
        <v>169</v>
      </c>
      <c r="N59" s="1" t="s">
        <v>48</v>
      </c>
      <c r="O59" s="9"/>
      <c r="P59" s="1">
        <f>ROUNDUP(2890*(1-$F$3),2)</f>
        <v>2890</v>
      </c>
      <c r="Q59" s="1" t="s">
        <v>49</v>
      </c>
      <c r="R59" s="1" t="s">
        <v>430</v>
      </c>
      <c r="S59" s="1" t="s">
        <v>431</v>
      </c>
      <c r="T59" s="9">
        <v>10</v>
      </c>
      <c r="U59" s="1">
        <f>ROUNDUP(2627.27*(1-$F$3),2)</f>
        <v>2627.27</v>
      </c>
      <c r="V59" s="1">
        <v>1443</v>
      </c>
      <c r="Y59" s="1" t="s">
        <v>432</v>
      </c>
      <c r="Z59" s="1" t="s">
        <v>128</v>
      </c>
      <c r="AA59" s="12">
        <v>45814</v>
      </c>
      <c r="AB59" s="1" t="s">
        <v>66</v>
      </c>
      <c r="AC59" s="1" t="s">
        <v>120</v>
      </c>
      <c r="AD59" s="1" t="s">
        <v>121</v>
      </c>
      <c r="AE59" s="1" t="s">
        <v>69</v>
      </c>
      <c r="AG59" s="1">
        <v>11782470</v>
      </c>
    </row>
    <row r="60" spans="1:33" s="1" customFormat="1" x14ac:dyDescent="0.25">
      <c r="C60" s="1" t="s">
        <v>433</v>
      </c>
      <c r="E60" s="1" t="s">
        <v>434</v>
      </c>
      <c r="F60" s="13" t="s">
        <v>6952</v>
      </c>
      <c r="G60" s="1" t="s">
        <v>435</v>
      </c>
      <c r="H60" s="1" t="s">
        <v>61</v>
      </c>
      <c r="I60" s="1">
        <v>272</v>
      </c>
      <c r="J60" s="1" t="s">
        <v>46</v>
      </c>
      <c r="M60" s="1" t="s">
        <v>47</v>
      </c>
      <c r="N60" s="1" t="s">
        <v>48</v>
      </c>
      <c r="O60" s="9">
        <v>6</v>
      </c>
      <c r="P60" s="1">
        <f>ROUNDUP(1160*(1-$F$3),2)</f>
        <v>1160</v>
      </c>
      <c r="Q60" s="1" t="s">
        <v>49</v>
      </c>
      <c r="R60" s="1" t="s">
        <v>436</v>
      </c>
      <c r="S60" s="1" t="s">
        <v>437</v>
      </c>
      <c r="T60" s="9">
        <v>22</v>
      </c>
      <c r="U60" s="1">
        <f>ROUNDUP(950.82*(1-$F$3),2)</f>
        <v>950.82</v>
      </c>
      <c r="V60" s="1">
        <v>421</v>
      </c>
      <c r="Y60" s="1" t="s">
        <v>438</v>
      </c>
      <c r="Z60" s="1" t="s">
        <v>128</v>
      </c>
      <c r="AA60" s="12">
        <v>45825</v>
      </c>
      <c r="AB60" s="1" t="s">
        <v>286</v>
      </c>
      <c r="AC60" s="1" t="s">
        <v>320</v>
      </c>
      <c r="AD60" s="1" t="s">
        <v>321</v>
      </c>
      <c r="AE60" s="1" t="s">
        <v>69</v>
      </c>
      <c r="AG60" s="1">
        <v>11582880</v>
      </c>
    </row>
    <row r="61" spans="1:33" s="11" customFormat="1" x14ac:dyDescent="0.25">
      <c r="A61" s="11" t="s">
        <v>6953</v>
      </c>
      <c r="C61" s="11" t="s">
        <v>439</v>
      </c>
      <c r="E61" s="11" t="s">
        <v>440</v>
      </c>
      <c r="F61" s="14" t="s">
        <v>6952</v>
      </c>
      <c r="G61" s="11" t="s">
        <v>441</v>
      </c>
      <c r="H61" s="11" t="s">
        <v>82</v>
      </c>
      <c r="I61" s="11">
        <v>464</v>
      </c>
      <c r="J61" s="11" t="s">
        <v>46</v>
      </c>
      <c r="M61" s="11" t="s">
        <v>62</v>
      </c>
      <c r="N61" s="11" t="s">
        <v>48</v>
      </c>
      <c r="O61" s="23">
        <v>4</v>
      </c>
      <c r="P61" s="11">
        <f>ROUNDUP(2090*(1-$F$3),2)</f>
        <v>2090</v>
      </c>
      <c r="Q61" s="11" t="s">
        <v>49</v>
      </c>
      <c r="R61" s="11" t="s">
        <v>442</v>
      </c>
      <c r="S61" s="11" t="s">
        <v>443</v>
      </c>
      <c r="T61" s="23">
        <v>22</v>
      </c>
      <c r="U61" s="11">
        <f>ROUNDUP(1713.11*(1-$F$3),2)</f>
        <v>1713.11</v>
      </c>
      <c r="V61" s="11">
        <v>854</v>
      </c>
      <c r="Y61" s="11" t="s">
        <v>444</v>
      </c>
      <c r="Z61" s="11" t="s">
        <v>76</v>
      </c>
      <c r="AA61" s="15">
        <v>45708</v>
      </c>
      <c r="AB61" s="11" t="s">
        <v>445</v>
      </c>
      <c r="AC61" s="11" t="s">
        <v>446</v>
      </c>
      <c r="AD61" s="11" t="s">
        <v>447</v>
      </c>
      <c r="AE61" s="11" t="s">
        <v>69</v>
      </c>
      <c r="AG61" s="11">
        <v>11627020</v>
      </c>
    </row>
    <row r="62" spans="1:33" s="1" customFormat="1" x14ac:dyDescent="0.25">
      <c r="C62" s="1" t="s">
        <v>448</v>
      </c>
      <c r="E62" s="1" t="s">
        <v>449</v>
      </c>
      <c r="F62" s="13" t="s">
        <v>6952</v>
      </c>
      <c r="G62" s="1" t="s">
        <v>383</v>
      </c>
      <c r="H62" s="1" t="s">
        <v>384</v>
      </c>
      <c r="I62" s="1">
        <v>10</v>
      </c>
      <c r="J62" s="1" t="s">
        <v>46</v>
      </c>
      <c r="M62" s="1" t="s">
        <v>161</v>
      </c>
      <c r="N62" s="1" t="s">
        <v>48</v>
      </c>
      <c r="O62" s="9"/>
      <c r="P62" s="1">
        <f>ROUNDUP(380*(1-$F$3),2)</f>
        <v>380</v>
      </c>
      <c r="Q62" s="1" t="s">
        <v>49</v>
      </c>
      <c r="R62" s="1" t="s">
        <v>450</v>
      </c>
      <c r="S62" s="1" t="s">
        <v>451</v>
      </c>
      <c r="T62" s="9">
        <v>22</v>
      </c>
      <c r="U62" s="1">
        <f>ROUNDUP(311.48*(1-$F$3),2)</f>
        <v>311.48</v>
      </c>
      <c r="V62" s="1">
        <v>0</v>
      </c>
      <c r="Y62" s="1" t="s">
        <v>452</v>
      </c>
      <c r="Z62" s="1" t="s">
        <v>128</v>
      </c>
      <c r="AA62" s="12">
        <v>45238</v>
      </c>
      <c r="AB62" s="1" t="s">
        <v>95</v>
      </c>
      <c r="AC62" s="1" t="s">
        <v>453</v>
      </c>
      <c r="AD62" s="1" t="s">
        <v>49</v>
      </c>
      <c r="AE62" s="1" t="s">
        <v>322</v>
      </c>
      <c r="AG62" s="1">
        <v>11116460</v>
      </c>
    </row>
    <row r="63" spans="1:33" s="1" customFormat="1" x14ac:dyDescent="0.25">
      <c r="C63" s="1" t="s">
        <v>454</v>
      </c>
      <c r="E63" s="1" t="s">
        <v>455</v>
      </c>
      <c r="F63" s="13" t="s">
        <v>6952</v>
      </c>
      <c r="G63" s="1" t="s">
        <v>383</v>
      </c>
      <c r="H63" s="1" t="s">
        <v>384</v>
      </c>
      <c r="I63" s="1">
        <v>10</v>
      </c>
      <c r="J63" s="1" t="s">
        <v>46</v>
      </c>
      <c r="M63" s="1" t="s">
        <v>176</v>
      </c>
      <c r="N63" s="1" t="s">
        <v>48</v>
      </c>
      <c r="O63" s="9"/>
      <c r="P63" s="1">
        <f>ROUNDUP(310*(1-$F$3),2)</f>
        <v>310</v>
      </c>
      <c r="Q63" s="1" t="s">
        <v>49</v>
      </c>
      <c r="R63" s="1" t="s">
        <v>456</v>
      </c>
      <c r="S63" s="1" t="s">
        <v>457</v>
      </c>
      <c r="T63" s="9">
        <v>22</v>
      </c>
      <c r="U63" s="1">
        <f>ROUNDUP(254.1*(1-$F$3),2)</f>
        <v>254.1</v>
      </c>
      <c r="V63" s="1">
        <v>0</v>
      </c>
      <c r="Y63" s="1" t="s">
        <v>458</v>
      </c>
      <c r="Z63" s="1" t="s">
        <v>128</v>
      </c>
      <c r="AA63" s="12">
        <v>45566</v>
      </c>
      <c r="AB63" s="1" t="s">
        <v>459</v>
      </c>
      <c r="AC63" s="1" t="s">
        <v>460</v>
      </c>
      <c r="AD63" s="1" t="s">
        <v>49</v>
      </c>
      <c r="AE63" s="1" t="s">
        <v>322</v>
      </c>
      <c r="AG63" s="1">
        <v>11486970</v>
      </c>
    </row>
    <row r="64" spans="1:33" s="1" customFormat="1" x14ac:dyDescent="0.25">
      <c r="C64" s="1" t="s">
        <v>461</v>
      </c>
      <c r="E64" s="1" t="s">
        <v>462</v>
      </c>
      <c r="F64" s="13" t="s">
        <v>6952</v>
      </c>
      <c r="G64" s="1" t="s">
        <v>463</v>
      </c>
      <c r="H64" s="1" t="s">
        <v>61</v>
      </c>
      <c r="I64" s="1">
        <v>288</v>
      </c>
      <c r="J64" s="1" t="s">
        <v>46</v>
      </c>
      <c r="M64" s="1" t="s">
        <v>47</v>
      </c>
      <c r="N64" s="1" t="s">
        <v>48</v>
      </c>
      <c r="O64" s="9">
        <v>10</v>
      </c>
      <c r="P64" s="1">
        <f>ROUNDUP(1040*(1-$F$3),2)</f>
        <v>1040</v>
      </c>
      <c r="Q64" s="1" t="s">
        <v>49</v>
      </c>
      <c r="R64" s="1" t="s">
        <v>464</v>
      </c>
      <c r="S64" s="1" t="s">
        <v>465</v>
      </c>
      <c r="T64" s="9">
        <v>22</v>
      </c>
      <c r="U64" s="1">
        <f>ROUNDUP(852.46*(1-$F$3),2)</f>
        <v>852.46</v>
      </c>
      <c r="V64" s="1">
        <v>378</v>
      </c>
      <c r="Y64" s="1" t="s">
        <v>466</v>
      </c>
      <c r="Z64" s="1" t="s">
        <v>76</v>
      </c>
      <c r="AA64" s="12">
        <v>45685</v>
      </c>
      <c r="AB64" s="1" t="s">
        <v>66</v>
      </c>
      <c r="AC64" s="1" t="s">
        <v>120</v>
      </c>
      <c r="AD64" s="1" t="s">
        <v>121</v>
      </c>
      <c r="AE64" s="1" t="s">
        <v>69</v>
      </c>
      <c r="AG64" s="1">
        <v>11576290</v>
      </c>
    </row>
    <row r="65" spans="1:33" s="1" customFormat="1" x14ac:dyDescent="0.25">
      <c r="C65" s="1" t="s">
        <v>467</v>
      </c>
      <c r="E65" s="1" t="s">
        <v>468</v>
      </c>
      <c r="F65" s="13" t="s">
        <v>6952</v>
      </c>
      <c r="G65" s="1" t="s">
        <v>469</v>
      </c>
      <c r="H65" s="1" t="s">
        <v>160</v>
      </c>
      <c r="I65" s="1">
        <v>384</v>
      </c>
      <c r="J65" s="1" t="s">
        <v>46</v>
      </c>
      <c r="M65" s="1" t="s">
        <v>47</v>
      </c>
      <c r="N65" s="1" t="s">
        <v>48</v>
      </c>
      <c r="O65" s="9">
        <v>8</v>
      </c>
      <c r="P65" s="1">
        <f>ROUNDUP(1270*(1-$F$3),2)</f>
        <v>1270</v>
      </c>
      <c r="Q65" s="1" t="s">
        <v>49</v>
      </c>
      <c r="R65" s="1" t="s">
        <v>470</v>
      </c>
      <c r="S65" s="1" t="s">
        <v>471</v>
      </c>
      <c r="T65" s="9">
        <v>10</v>
      </c>
      <c r="U65" s="1">
        <f>ROUNDUP(1154.55*(1-$F$3),2)</f>
        <v>1154.55</v>
      </c>
      <c r="V65" s="1">
        <v>401</v>
      </c>
      <c r="Y65" s="1" t="s">
        <v>472</v>
      </c>
      <c r="Z65" s="1" t="s">
        <v>53</v>
      </c>
      <c r="AA65" s="12">
        <v>45631</v>
      </c>
      <c r="AB65" s="1" t="s">
        <v>66</v>
      </c>
      <c r="AC65" s="1" t="s">
        <v>120</v>
      </c>
      <c r="AD65" s="1" t="s">
        <v>121</v>
      </c>
      <c r="AE65" s="1" t="s">
        <v>69</v>
      </c>
      <c r="AG65" s="1">
        <v>11532840</v>
      </c>
    </row>
    <row r="66" spans="1:33" s="1" customFormat="1" x14ac:dyDescent="0.25">
      <c r="C66" s="1" t="s">
        <v>473</v>
      </c>
      <c r="E66" s="1" t="s">
        <v>474</v>
      </c>
      <c r="F66" s="13" t="s">
        <v>6952</v>
      </c>
      <c r="G66" s="1" t="s">
        <v>475</v>
      </c>
      <c r="H66" s="1" t="s">
        <v>160</v>
      </c>
      <c r="I66" s="1">
        <v>1008</v>
      </c>
      <c r="J66" s="1" t="s">
        <v>46</v>
      </c>
      <c r="M66" s="1" t="s">
        <v>47</v>
      </c>
      <c r="N66" s="1" t="s">
        <v>48</v>
      </c>
      <c r="O66" s="9"/>
      <c r="P66" s="1">
        <f>ROUNDUP(2820*(1-$F$3),2)</f>
        <v>2820</v>
      </c>
      <c r="Q66" s="1" t="s">
        <v>49</v>
      </c>
      <c r="R66" s="1" t="s">
        <v>476</v>
      </c>
      <c r="S66" s="1" t="s">
        <v>477</v>
      </c>
      <c r="T66" s="9">
        <v>10</v>
      </c>
      <c r="U66" s="1">
        <f>ROUNDUP(2563.64*(1-$F$3),2)</f>
        <v>2563.64</v>
      </c>
      <c r="V66" s="1">
        <v>1121</v>
      </c>
      <c r="Y66" s="1" t="s">
        <v>478</v>
      </c>
      <c r="Z66" s="1" t="s">
        <v>53</v>
      </c>
      <c r="AA66" s="12">
        <v>45706</v>
      </c>
      <c r="AB66" s="1" t="s">
        <v>66</v>
      </c>
      <c r="AC66" s="1" t="s">
        <v>67</v>
      </c>
      <c r="AD66" s="1" t="s">
        <v>165</v>
      </c>
      <c r="AE66" s="1" t="s">
        <v>69</v>
      </c>
      <c r="AG66" s="1">
        <v>11664320</v>
      </c>
    </row>
    <row r="67" spans="1:33" s="1" customFormat="1" x14ac:dyDescent="0.25">
      <c r="C67" s="1" t="s">
        <v>479</v>
      </c>
      <c r="E67" s="1" t="s">
        <v>480</v>
      </c>
      <c r="F67" s="13" t="s">
        <v>6952</v>
      </c>
      <c r="G67" s="1" t="s">
        <v>481</v>
      </c>
      <c r="H67" s="1" t="s">
        <v>82</v>
      </c>
      <c r="I67" s="1">
        <v>352</v>
      </c>
      <c r="J67" s="1" t="s">
        <v>46</v>
      </c>
      <c r="M67" s="1" t="s">
        <v>176</v>
      </c>
      <c r="N67" s="1" t="s">
        <v>48</v>
      </c>
      <c r="O67" s="9">
        <v>6</v>
      </c>
      <c r="P67" s="1">
        <f>ROUNDUP(3240*(1-$F$3),2)</f>
        <v>3240</v>
      </c>
      <c r="Q67" s="1" t="s">
        <v>49</v>
      </c>
      <c r="R67" s="1" t="s">
        <v>482</v>
      </c>
      <c r="S67" s="1" t="s">
        <v>483</v>
      </c>
      <c r="T67" s="9">
        <v>10</v>
      </c>
      <c r="U67" s="1">
        <f>ROUNDUP(2945.45*(1-$F$3),2)</f>
        <v>2945.45</v>
      </c>
      <c r="V67" s="1">
        <v>701</v>
      </c>
      <c r="Y67" s="1" t="s">
        <v>484</v>
      </c>
      <c r="Z67" s="1" t="s">
        <v>53</v>
      </c>
      <c r="AA67" s="12">
        <v>45221</v>
      </c>
      <c r="AB67" s="1" t="s">
        <v>95</v>
      </c>
      <c r="AC67" s="1" t="s">
        <v>313</v>
      </c>
      <c r="AD67" s="1" t="s">
        <v>314</v>
      </c>
      <c r="AE67" s="1" t="s">
        <v>69</v>
      </c>
      <c r="AG67" s="1">
        <v>11109170</v>
      </c>
    </row>
    <row r="68" spans="1:33" s="1" customFormat="1" x14ac:dyDescent="0.25">
      <c r="C68" s="1" t="s">
        <v>485</v>
      </c>
      <c r="E68" s="1" t="s">
        <v>486</v>
      </c>
      <c r="F68" s="13" t="s">
        <v>6952</v>
      </c>
      <c r="G68" s="1" t="s">
        <v>487</v>
      </c>
      <c r="H68" s="1" t="s">
        <v>61</v>
      </c>
      <c r="I68" s="1">
        <v>1072</v>
      </c>
      <c r="J68" s="1" t="s">
        <v>46</v>
      </c>
      <c r="K68" s="1" t="s">
        <v>204</v>
      </c>
      <c r="M68" s="1" t="s">
        <v>47</v>
      </c>
      <c r="N68" s="1" t="s">
        <v>48</v>
      </c>
      <c r="O68" s="9"/>
      <c r="P68" s="1">
        <f>ROUNDUP(1820*(1-$F$3),2)</f>
        <v>1820</v>
      </c>
      <c r="Q68" s="1" t="s">
        <v>49</v>
      </c>
      <c r="R68" s="1" t="s">
        <v>488</v>
      </c>
      <c r="S68" s="1" t="s">
        <v>489</v>
      </c>
      <c r="T68" s="9">
        <v>22</v>
      </c>
      <c r="U68" s="1">
        <f>ROUNDUP(1491.8*(1-$F$3),2)</f>
        <v>1491.8</v>
      </c>
      <c r="V68" s="1">
        <v>1041</v>
      </c>
      <c r="Y68" s="1" t="s">
        <v>490</v>
      </c>
      <c r="Z68" s="1" t="s">
        <v>76</v>
      </c>
      <c r="AA68" s="12">
        <v>45721</v>
      </c>
      <c r="AB68" s="1" t="s">
        <v>66</v>
      </c>
      <c r="AC68" s="1" t="s">
        <v>491</v>
      </c>
      <c r="AD68" s="1" t="s">
        <v>492</v>
      </c>
      <c r="AE68" s="1" t="s">
        <v>69</v>
      </c>
      <c r="AG68" s="1">
        <v>11680450</v>
      </c>
    </row>
    <row r="69" spans="1:33" s="1" customFormat="1" x14ac:dyDescent="0.25">
      <c r="C69" s="1" t="s">
        <v>493</v>
      </c>
      <c r="E69" s="1" t="s">
        <v>494</v>
      </c>
      <c r="F69" s="13" t="s">
        <v>6952</v>
      </c>
      <c r="G69" s="1" t="s">
        <v>495</v>
      </c>
      <c r="H69" s="1" t="s">
        <v>61</v>
      </c>
      <c r="I69" s="1">
        <v>288</v>
      </c>
      <c r="J69" s="1" t="s">
        <v>46</v>
      </c>
      <c r="M69" s="1" t="s">
        <v>62</v>
      </c>
      <c r="N69" s="1" t="s">
        <v>48</v>
      </c>
      <c r="O69" s="9">
        <v>8</v>
      </c>
      <c r="P69" s="1">
        <f>ROUNDUP(1000*(1-$F$3),2)</f>
        <v>1000</v>
      </c>
      <c r="Q69" s="1" t="s">
        <v>49</v>
      </c>
      <c r="R69" s="1" t="s">
        <v>496</v>
      </c>
      <c r="S69" s="1" t="s">
        <v>497</v>
      </c>
      <c r="T69" s="9">
        <v>22</v>
      </c>
      <c r="U69" s="1">
        <f>ROUNDUP(819.67*(1-$F$3),2)</f>
        <v>819.67</v>
      </c>
      <c r="V69" s="1">
        <v>334</v>
      </c>
      <c r="Y69" s="1" t="s">
        <v>498</v>
      </c>
      <c r="Z69" s="1" t="s">
        <v>76</v>
      </c>
      <c r="AA69" s="12">
        <v>46020</v>
      </c>
      <c r="AB69" s="1" t="s">
        <v>66</v>
      </c>
      <c r="AC69" s="1" t="s">
        <v>499</v>
      </c>
      <c r="AD69" s="1" t="s">
        <v>500</v>
      </c>
      <c r="AE69" s="1" t="s">
        <v>69</v>
      </c>
      <c r="AG69" s="1">
        <v>11977380</v>
      </c>
    </row>
    <row r="70" spans="1:33" s="1" customFormat="1" x14ac:dyDescent="0.25">
      <c r="C70" s="1" t="s">
        <v>501</v>
      </c>
      <c r="E70" s="1" t="s">
        <v>502</v>
      </c>
      <c r="F70" s="13" t="s">
        <v>6952</v>
      </c>
      <c r="G70" s="1" t="s">
        <v>503</v>
      </c>
      <c r="H70" s="1" t="s">
        <v>160</v>
      </c>
      <c r="I70" s="1">
        <v>128</v>
      </c>
      <c r="J70" s="1" t="s">
        <v>46</v>
      </c>
      <c r="M70" s="1" t="s">
        <v>62</v>
      </c>
      <c r="N70" s="1" t="s">
        <v>48</v>
      </c>
      <c r="O70" s="9">
        <v>20</v>
      </c>
      <c r="P70" s="1">
        <f>ROUNDUP(680*(1-$F$3),2)</f>
        <v>680</v>
      </c>
      <c r="Q70" s="1" t="s">
        <v>49</v>
      </c>
      <c r="R70" s="1" t="s">
        <v>504</v>
      </c>
      <c r="S70" s="1" t="s">
        <v>505</v>
      </c>
      <c r="T70" s="9">
        <v>22</v>
      </c>
      <c r="U70" s="1">
        <f>ROUNDUP(557.38*(1-$F$3),2)</f>
        <v>557.38</v>
      </c>
      <c r="V70" s="1">
        <v>229</v>
      </c>
      <c r="Y70" s="1" t="s">
        <v>506</v>
      </c>
      <c r="Z70" s="1" t="s">
        <v>128</v>
      </c>
      <c r="AA70" s="12">
        <v>45330</v>
      </c>
      <c r="AB70" s="1" t="s">
        <v>286</v>
      </c>
      <c r="AC70" s="1" t="s">
        <v>320</v>
      </c>
      <c r="AD70" s="1" t="s">
        <v>507</v>
      </c>
      <c r="AE70" s="1" t="s">
        <v>69</v>
      </c>
      <c r="AG70" s="1">
        <v>11220600</v>
      </c>
    </row>
    <row r="71" spans="1:33" s="1" customFormat="1" x14ac:dyDescent="0.25">
      <c r="C71" s="1" t="s">
        <v>508</v>
      </c>
      <c r="E71" s="1" t="s">
        <v>509</v>
      </c>
      <c r="F71" s="13" t="s">
        <v>6952</v>
      </c>
      <c r="G71" s="1" t="s">
        <v>510</v>
      </c>
      <c r="H71" s="1" t="s">
        <v>82</v>
      </c>
      <c r="I71" s="1">
        <v>304</v>
      </c>
      <c r="J71" s="1" t="s">
        <v>46</v>
      </c>
      <c r="M71" s="1" t="s">
        <v>62</v>
      </c>
      <c r="N71" s="1" t="s">
        <v>48</v>
      </c>
      <c r="O71" s="9">
        <v>6</v>
      </c>
      <c r="P71" s="1">
        <f>ROUNDUP(1670*(1-$F$3),2)</f>
        <v>1670</v>
      </c>
      <c r="Q71" s="1" t="s">
        <v>49</v>
      </c>
      <c r="R71" s="1" t="s">
        <v>511</v>
      </c>
      <c r="S71" s="1" t="s">
        <v>512</v>
      </c>
      <c r="T71" s="9">
        <v>10</v>
      </c>
      <c r="U71" s="1">
        <f>ROUNDUP(1518.18*(1-$F$3),2)</f>
        <v>1518.18</v>
      </c>
      <c r="V71" s="1">
        <v>791</v>
      </c>
      <c r="Y71" s="1" t="s">
        <v>513</v>
      </c>
      <c r="Z71" s="1" t="s">
        <v>53</v>
      </c>
      <c r="AA71" s="12">
        <v>45866</v>
      </c>
      <c r="AB71" s="1" t="s">
        <v>95</v>
      </c>
      <c r="AC71" s="1" t="s">
        <v>313</v>
      </c>
      <c r="AD71" s="1" t="s">
        <v>514</v>
      </c>
      <c r="AE71" s="1" t="s">
        <v>69</v>
      </c>
      <c r="AG71" s="1">
        <v>11800690</v>
      </c>
    </row>
    <row r="72" spans="1:33" s="1" customFormat="1" x14ac:dyDescent="0.25">
      <c r="C72" s="1" t="s">
        <v>515</v>
      </c>
      <c r="E72" s="1" t="s">
        <v>516</v>
      </c>
      <c r="F72" s="13" t="s">
        <v>6952</v>
      </c>
      <c r="G72" s="1" t="s">
        <v>510</v>
      </c>
      <c r="H72" s="1" t="s">
        <v>82</v>
      </c>
      <c r="I72" s="1">
        <v>560</v>
      </c>
      <c r="J72" s="1" t="s">
        <v>46</v>
      </c>
      <c r="M72" s="1" t="s">
        <v>62</v>
      </c>
      <c r="N72" s="1" t="s">
        <v>48</v>
      </c>
      <c r="O72" s="9"/>
      <c r="P72" s="1">
        <f>ROUNDUP(2660*(1-$F$3),2)</f>
        <v>2660</v>
      </c>
      <c r="Q72" s="1" t="s">
        <v>49</v>
      </c>
      <c r="R72" s="1" t="s">
        <v>517</v>
      </c>
      <c r="S72" s="1" t="s">
        <v>518</v>
      </c>
      <c r="T72" s="9">
        <v>10</v>
      </c>
      <c r="U72" s="1">
        <f>ROUNDUP(2418.18*(1-$F$3),2)</f>
        <v>2418.1799999999998</v>
      </c>
      <c r="V72" s="1">
        <v>1491</v>
      </c>
      <c r="Y72" s="1" t="s">
        <v>519</v>
      </c>
      <c r="Z72" s="1" t="s">
        <v>53</v>
      </c>
      <c r="AA72" s="12">
        <v>45896</v>
      </c>
      <c r="AB72" s="1" t="s">
        <v>95</v>
      </c>
      <c r="AC72" s="1" t="s">
        <v>313</v>
      </c>
      <c r="AD72" s="1" t="s">
        <v>520</v>
      </c>
      <c r="AE72" s="1" t="s">
        <v>69</v>
      </c>
      <c r="AG72" s="1">
        <v>11866040</v>
      </c>
    </row>
    <row r="73" spans="1:33" s="1" customFormat="1" x14ac:dyDescent="0.25">
      <c r="C73" s="1" t="s">
        <v>521</v>
      </c>
      <c r="E73" s="1" t="s">
        <v>522</v>
      </c>
      <c r="F73" s="13" t="s">
        <v>6952</v>
      </c>
      <c r="G73" s="1" t="s">
        <v>523</v>
      </c>
      <c r="H73" s="1" t="s">
        <v>524</v>
      </c>
      <c r="I73" s="1">
        <v>192</v>
      </c>
      <c r="J73" s="1" t="s">
        <v>46</v>
      </c>
      <c r="M73" s="1" t="s">
        <v>47</v>
      </c>
      <c r="N73" s="1" t="s">
        <v>48</v>
      </c>
      <c r="O73" s="9">
        <v>10</v>
      </c>
      <c r="P73" s="1">
        <f>ROUNDUP(2730*(1-$F$3),2)</f>
        <v>2730</v>
      </c>
      <c r="Q73" s="1" t="s">
        <v>49</v>
      </c>
      <c r="R73" s="1" t="s">
        <v>525</v>
      </c>
      <c r="S73" s="1" t="s">
        <v>526</v>
      </c>
      <c r="T73" s="9">
        <v>10</v>
      </c>
      <c r="U73" s="1">
        <f>ROUNDUP(2481.82*(1-$F$3),2)</f>
        <v>2481.8200000000002</v>
      </c>
      <c r="V73" s="1">
        <v>418</v>
      </c>
      <c r="Y73" s="1" t="s">
        <v>527</v>
      </c>
      <c r="Z73" s="1" t="s">
        <v>128</v>
      </c>
      <c r="AA73" s="12">
        <v>45868</v>
      </c>
      <c r="AB73" s="1" t="s">
        <v>234</v>
      </c>
      <c r="AC73" s="1" t="s">
        <v>528</v>
      </c>
      <c r="AD73" s="1" t="s">
        <v>529</v>
      </c>
      <c r="AE73" s="1" t="s">
        <v>57</v>
      </c>
      <c r="AG73" s="1">
        <v>11799090</v>
      </c>
    </row>
    <row r="74" spans="1:33" s="1" customFormat="1" x14ac:dyDescent="0.25">
      <c r="C74" s="1" t="s">
        <v>530</v>
      </c>
      <c r="E74" s="1" t="s">
        <v>531</v>
      </c>
      <c r="F74" s="13" t="s">
        <v>6952</v>
      </c>
      <c r="G74" s="1" t="s">
        <v>532</v>
      </c>
      <c r="H74" s="1" t="s">
        <v>160</v>
      </c>
      <c r="I74" s="1">
        <v>176</v>
      </c>
      <c r="J74" s="1" t="s">
        <v>46</v>
      </c>
      <c r="M74" s="1" t="s">
        <v>47</v>
      </c>
      <c r="N74" s="1" t="s">
        <v>48</v>
      </c>
      <c r="O74" s="9">
        <v>10</v>
      </c>
      <c r="P74" s="1">
        <f>ROUNDUP(890*(1-$F$3),2)</f>
        <v>890</v>
      </c>
      <c r="Q74" s="1" t="s">
        <v>49</v>
      </c>
      <c r="R74" s="1" t="s">
        <v>533</v>
      </c>
      <c r="S74" s="1" t="s">
        <v>534</v>
      </c>
      <c r="T74" s="9">
        <v>10</v>
      </c>
      <c r="U74" s="1">
        <f>ROUNDUP(809.09*(1-$F$3),2)</f>
        <v>809.09</v>
      </c>
      <c r="V74" s="1">
        <v>273</v>
      </c>
      <c r="Y74" s="1" t="s">
        <v>535</v>
      </c>
      <c r="Z74" s="1" t="s">
        <v>53</v>
      </c>
      <c r="AA74" s="12">
        <v>45938</v>
      </c>
      <c r="AB74" s="1" t="s">
        <v>95</v>
      </c>
      <c r="AC74" s="1" t="s">
        <v>112</v>
      </c>
      <c r="AD74" s="1" t="s">
        <v>536</v>
      </c>
      <c r="AE74" s="1" t="s">
        <v>69</v>
      </c>
      <c r="AG74" s="1">
        <v>11903060</v>
      </c>
    </row>
    <row r="75" spans="1:33" s="1" customFormat="1" x14ac:dyDescent="0.25">
      <c r="C75" s="1" t="s">
        <v>537</v>
      </c>
      <c r="E75" s="1" t="s">
        <v>538</v>
      </c>
      <c r="F75" s="13" t="s">
        <v>6952</v>
      </c>
      <c r="G75" s="1" t="s">
        <v>44</v>
      </c>
      <c r="H75" s="1" t="s">
        <v>82</v>
      </c>
      <c r="I75" s="1">
        <v>608</v>
      </c>
      <c r="J75" s="1" t="s">
        <v>46</v>
      </c>
      <c r="M75" s="1" t="s">
        <v>47</v>
      </c>
      <c r="N75" s="1" t="s">
        <v>48</v>
      </c>
      <c r="O75" s="9">
        <v>3</v>
      </c>
      <c r="P75" s="1">
        <f>ROUNDUP(2840*(1-$F$3),2)</f>
        <v>2840</v>
      </c>
      <c r="Q75" s="1" t="s">
        <v>49</v>
      </c>
      <c r="R75" s="1" t="s">
        <v>539</v>
      </c>
      <c r="S75" s="1" t="s">
        <v>540</v>
      </c>
      <c r="T75" s="9">
        <v>10</v>
      </c>
      <c r="U75" s="1">
        <f>ROUNDUP(2581.82*(1-$F$3),2)</f>
        <v>2581.8200000000002</v>
      </c>
      <c r="V75" s="1">
        <v>1071</v>
      </c>
      <c r="Y75" s="1" t="s">
        <v>541</v>
      </c>
      <c r="Z75" s="1" t="s">
        <v>53</v>
      </c>
      <c r="AA75" s="12">
        <v>45870</v>
      </c>
      <c r="AB75" s="1" t="s">
        <v>54</v>
      </c>
      <c r="AC75" s="1" t="s">
        <v>542</v>
      </c>
      <c r="AD75" s="1" t="s">
        <v>543</v>
      </c>
      <c r="AE75" s="1" t="s">
        <v>69</v>
      </c>
      <c r="AG75" s="1">
        <v>11810990</v>
      </c>
    </row>
    <row r="76" spans="1:33" s="1" customFormat="1" x14ac:dyDescent="0.25">
      <c r="C76" s="1" t="s">
        <v>544</v>
      </c>
      <c r="E76" s="1" t="s">
        <v>545</v>
      </c>
      <c r="F76" s="13" t="s">
        <v>6952</v>
      </c>
      <c r="G76" s="1" t="s">
        <v>546</v>
      </c>
      <c r="H76" s="1" t="s">
        <v>82</v>
      </c>
      <c r="I76" s="1">
        <v>1010</v>
      </c>
      <c r="J76" s="1" t="s">
        <v>46</v>
      </c>
      <c r="M76" s="1" t="s">
        <v>47</v>
      </c>
      <c r="N76" s="1" t="s">
        <v>48</v>
      </c>
      <c r="O76" s="9"/>
      <c r="P76" s="1">
        <f>ROUNDUP(3680*(1-$F$3),2)</f>
        <v>3680</v>
      </c>
      <c r="Q76" s="1" t="s">
        <v>49</v>
      </c>
      <c r="R76" s="1" t="s">
        <v>547</v>
      </c>
      <c r="S76" s="1" t="s">
        <v>548</v>
      </c>
      <c r="T76" s="9">
        <v>22</v>
      </c>
      <c r="U76" s="1">
        <f>ROUNDUP(3016.39*(1-$F$3),2)</f>
        <v>3016.39</v>
      </c>
      <c r="V76" s="1">
        <v>1688</v>
      </c>
      <c r="Y76" s="1" t="s">
        <v>549</v>
      </c>
      <c r="Z76" s="1" t="s">
        <v>76</v>
      </c>
      <c r="AA76" s="12">
        <v>45814</v>
      </c>
      <c r="AB76" s="1" t="s">
        <v>445</v>
      </c>
      <c r="AC76" s="1" t="s">
        <v>446</v>
      </c>
      <c r="AD76" s="1" t="s">
        <v>447</v>
      </c>
      <c r="AE76" s="1" t="s">
        <v>69</v>
      </c>
      <c r="AG76" s="1">
        <v>11782490</v>
      </c>
    </row>
    <row r="77" spans="1:33" s="11" customFormat="1" x14ac:dyDescent="0.25">
      <c r="A77" s="11" t="s">
        <v>6953</v>
      </c>
      <c r="C77" s="11" t="s">
        <v>550</v>
      </c>
      <c r="E77" s="11" t="s">
        <v>551</v>
      </c>
      <c r="F77" s="14" t="s">
        <v>6952</v>
      </c>
      <c r="G77" s="11" t="s">
        <v>552</v>
      </c>
      <c r="H77" s="11" t="s">
        <v>61</v>
      </c>
      <c r="I77" s="11">
        <v>96</v>
      </c>
      <c r="J77" s="11" t="s">
        <v>46</v>
      </c>
      <c r="M77" s="11" t="s">
        <v>62</v>
      </c>
      <c r="N77" s="11" t="s">
        <v>48</v>
      </c>
      <c r="O77" s="23">
        <v>20</v>
      </c>
      <c r="P77" s="11">
        <f>ROUNDUP(690*(1-$F$3),2)</f>
        <v>690</v>
      </c>
      <c r="Q77" s="11" t="s">
        <v>49</v>
      </c>
      <c r="R77" s="11" t="s">
        <v>553</v>
      </c>
      <c r="S77" s="11" t="s">
        <v>554</v>
      </c>
      <c r="T77" s="23">
        <v>10</v>
      </c>
      <c r="U77" s="11">
        <f>ROUNDUP(627.27*(1-$F$3),2)</f>
        <v>627.27</v>
      </c>
      <c r="V77" s="11">
        <v>223</v>
      </c>
      <c r="Y77" s="11" t="s">
        <v>555</v>
      </c>
      <c r="Z77" s="11" t="s">
        <v>53</v>
      </c>
      <c r="AA77" s="15">
        <v>46119</v>
      </c>
      <c r="AB77" s="11" t="s">
        <v>66</v>
      </c>
      <c r="AC77" s="11" t="s">
        <v>77</v>
      </c>
      <c r="AD77" s="11" t="s">
        <v>78</v>
      </c>
      <c r="AE77" s="11" t="s">
        <v>69</v>
      </c>
      <c r="AG77" s="11">
        <v>12082510</v>
      </c>
    </row>
    <row r="78" spans="1:33" s="11" customFormat="1" x14ac:dyDescent="0.25">
      <c r="A78" s="11" t="s">
        <v>6953</v>
      </c>
      <c r="C78" s="11" t="s">
        <v>556</v>
      </c>
      <c r="E78" s="11" t="s">
        <v>557</v>
      </c>
      <c r="F78" s="14" t="s">
        <v>6952</v>
      </c>
      <c r="G78" s="11" t="s">
        <v>552</v>
      </c>
      <c r="H78" s="11" t="s">
        <v>61</v>
      </c>
      <c r="I78" s="11">
        <v>112</v>
      </c>
      <c r="J78" s="11" t="s">
        <v>46</v>
      </c>
      <c r="M78" s="11" t="s">
        <v>62</v>
      </c>
      <c r="N78" s="11" t="s">
        <v>48</v>
      </c>
      <c r="O78" s="23">
        <v>10</v>
      </c>
      <c r="P78" s="11">
        <f>ROUNDUP(790*(1-$F$3),2)</f>
        <v>790</v>
      </c>
      <c r="Q78" s="11" t="s">
        <v>49</v>
      </c>
      <c r="R78" s="11" t="s">
        <v>558</v>
      </c>
      <c r="S78" s="11" t="s">
        <v>559</v>
      </c>
      <c r="T78" s="23">
        <v>10</v>
      </c>
      <c r="U78" s="11">
        <f>ROUNDUP(718.18*(1-$F$3),2)</f>
        <v>718.18</v>
      </c>
      <c r="V78" s="11">
        <v>239</v>
      </c>
      <c r="Y78" s="11" t="s">
        <v>560</v>
      </c>
      <c r="Z78" s="11" t="s">
        <v>53</v>
      </c>
      <c r="AA78" s="15">
        <v>46093</v>
      </c>
      <c r="AB78" s="11" t="s">
        <v>66</v>
      </c>
      <c r="AC78" s="11" t="s">
        <v>77</v>
      </c>
      <c r="AD78" s="11" t="s">
        <v>78</v>
      </c>
      <c r="AE78" s="11" t="s">
        <v>69</v>
      </c>
      <c r="AG78" s="11">
        <v>12057120</v>
      </c>
    </row>
    <row r="79" spans="1:33" s="1" customFormat="1" x14ac:dyDescent="0.25">
      <c r="C79" s="1" t="s">
        <v>561</v>
      </c>
      <c r="E79" s="1" t="s">
        <v>562</v>
      </c>
      <c r="F79" s="13" t="s">
        <v>6952</v>
      </c>
      <c r="G79" s="1" t="s">
        <v>563</v>
      </c>
      <c r="H79" s="1" t="s">
        <v>61</v>
      </c>
      <c r="I79" s="1">
        <v>288</v>
      </c>
      <c r="J79" s="1" t="s">
        <v>46</v>
      </c>
      <c r="M79" s="1" t="s">
        <v>47</v>
      </c>
      <c r="N79" s="1" t="s">
        <v>48</v>
      </c>
      <c r="O79" s="9">
        <v>5</v>
      </c>
      <c r="P79" s="1">
        <f>ROUNDUP(1000*(1-$F$3),2)</f>
        <v>1000</v>
      </c>
      <c r="Q79" s="1" t="s">
        <v>49</v>
      </c>
      <c r="R79" s="1" t="s">
        <v>564</v>
      </c>
      <c r="S79" s="1" t="s">
        <v>565</v>
      </c>
      <c r="T79" s="9">
        <v>22</v>
      </c>
      <c r="U79" s="1">
        <f>ROUNDUP(819.67*(1-$F$3),2)</f>
        <v>819.67</v>
      </c>
      <c r="V79" s="1">
        <v>445</v>
      </c>
      <c r="Y79" s="1" t="s">
        <v>566</v>
      </c>
      <c r="Z79" s="1" t="s">
        <v>76</v>
      </c>
      <c r="AA79" s="12">
        <v>45848</v>
      </c>
      <c r="AB79" s="1" t="s">
        <v>66</v>
      </c>
      <c r="AC79" s="1" t="s">
        <v>77</v>
      </c>
      <c r="AD79" s="1" t="s">
        <v>78</v>
      </c>
      <c r="AE79" s="1" t="s">
        <v>69</v>
      </c>
      <c r="AG79" s="1">
        <v>11798480</v>
      </c>
    </row>
    <row r="80" spans="1:33" s="1" customFormat="1" x14ac:dyDescent="0.25">
      <c r="C80" s="1" t="s">
        <v>567</v>
      </c>
      <c r="E80" s="1" t="s">
        <v>568</v>
      </c>
      <c r="F80" s="13" t="s">
        <v>6952</v>
      </c>
      <c r="G80" s="1" t="s">
        <v>569</v>
      </c>
      <c r="H80" s="1" t="s">
        <v>61</v>
      </c>
      <c r="I80" s="1">
        <v>368</v>
      </c>
      <c r="J80" s="1" t="s">
        <v>46</v>
      </c>
      <c r="M80" s="1" t="s">
        <v>169</v>
      </c>
      <c r="N80" s="1" t="s">
        <v>139</v>
      </c>
      <c r="O80" s="9">
        <v>15</v>
      </c>
      <c r="P80" s="1">
        <f>ROUNDUP(1400*(1-$F$3),2)</f>
        <v>1400</v>
      </c>
      <c r="Q80" s="1" t="s">
        <v>49</v>
      </c>
      <c r="R80" s="1" t="s">
        <v>570</v>
      </c>
      <c r="S80" s="1" t="s">
        <v>571</v>
      </c>
      <c r="T80" s="9">
        <v>10</v>
      </c>
      <c r="U80" s="1">
        <f>ROUNDUP(1272.73*(1-$F$3),2)</f>
        <v>1272.73</v>
      </c>
      <c r="V80" s="1">
        <v>452</v>
      </c>
      <c r="Y80" s="1" t="s">
        <v>572</v>
      </c>
      <c r="Z80" s="1" t="s">
        <v>128</v>
      </c>
      <c r="AA80" s="12">
        <v>44749</v>
      </c>
      <c r="AB80" s="1" t="s">
        <v>573</v>
      </c>
      <c r="AC80" s="1" t="s">
        <v>66</v>
      </c>
      <c r="AD80" s="1" t="s">
        <v>574</v>
      </c>
      <c r="AE80" s="1" t="s">
        <v>69</v>
      </c>
      <c r="AG80" s="1">
        <v>10466070</v>
      </c>
    </row>
    <row r="81" spans="1:33" s="1" customFormat="1" x14ac:dyDescent="0.25">
      <c r="C81" s="1" t="s">
        <v>575</v>
      </c>
      <c r="E81" s="1" t="s">
        <v>576</v>
      </c>
      <c r="F81" s="13" t="s">
        <v>6952</v>
      </c>
      <c r="G81" s="1" t="s">
        <v>577</v>
      </c>
      <c r="H81" s="1" t="s">
        <v>61</v>
      </c>
      <c r="I81" s="1">
        <v>576</v>
      </c>
      <c r="J81" s="1" t="s">
        <v>46</v>
      </c>
      <c r="M81" s="1" t="s">
        <v>47</v>
      </c>
      <c r="N81" s="1" t="s">
        <v>48</v>
      </c>
      <c r="O81" s="9">
        <v>8</v>
      </c>
      <c r="P81" s="1">
        <f>ROUNDUP(1160*(1-$F$3),2)</f>
        <v>1160</v>
      </c>
      <c r="Q81" s="1" t="s">
        <v>49</v>
      </c>
      <c r="R81" s="1" t="s">
        <v>578</v>
      </c>
      <c r="S81" s="1" t="s">
        <v>579</v>
      </c>
      <c r="T81" s="9">
        <v>22</v>
      </c>
      <c r="U81" s="1">
        <f>ROUNDUP(950.82*(1-$F$3),2)</f>
        <v>950.82</v>
      </c>
      <c r="V81" s="1">
        <v>616</v>
      </c>
      <c r="Y81" s="1" t="s">
        <v>580</v>
      </c>
      <c r="Z81" s="1" t="s">
        <v>76</v>
      </c>
      <c r="AA81" s="12">
        <v>45806</v>
      </c>
      <c r="AB81" s="1" t="s">
        <v>66</v>
      </c>
      <c r="AC81" s="1" t="s">
        <v>143</v>
      </c>
      <c r="AD81" s="1" t="s">
        <v>144</v>
      </c>
      <c r="AE81" s="1" t="s">
        <v>69</v>
      </c>
      <c r="AG81" s="1">
        <v>11747030</v>
      </c>
    </row>
    <row r="82" spans="1:33" s="1" customFormat="1" x14ac:dyDescent="0.25">
      <c r="C82" s="1" t="s">
        <v>581</v>
      </c>
      <c r="E82" s="1" t="s">
        <v>582</v>
      </c>
      <c r="F82" s="13" t="s">
        <v>6952</v>
      </c>
      <c r="G82" s="1" t="s">
        <v>577</v>
      </c>
      <c r="H82" s="1" t="s">
        <v>61</v>
      </c>
      <c r="I82" s="1">
        <v>576</v>
      </c>
      <c r="J82" s="1" t="s">
        <v>46</v>
      </c>
      <c r="M82" s="1" t="s">
        <v>47</v>
      </c>
      <c r="N82" s="1" t="s">
        <v>48</v>
      </c>
      <c r="O82" s="9">
        <v>8</v>
      </c>
      <c r="P82" s="1">
        <f>ROUNDUP(1350*(1-$F$3),2)</f>
        <v>1350</v>
      </c>
      <c r="Q82" s="1" t="s">
        <v>49</v>
      </c>
      <c r="R82" s="1" t="s">
        <v>583</v>
      </c>
      <c r="S82" s="1" t="s">
        <v>584</v>
      </c>
      <c r="T82" s="9">
        <v>22</v>
      </c>
      <c r="U82" s="1">
        <f>ROUNDUP(1106.56*(1-$F$3),2)</f>
        <v>1106.56</v>
      </c>
      <c r="V82" s="1">
        <v>615</v>
      </c>
      <c r="Y82" s="1" t="s">
        <v>585</v>
      </c>
      <c r="Z82" s="1" t="s">
        <v>76</v>
      </c>
      <c r="AA82" s="12">
        <v>45683</v>
      </c>
      <c r="AB82" s="1" t="s">
        <v>66</v>
      </c>
      <c r="AC82" s="1" t="s">
        <v>143</v>
      </c>
      <c r="AD82" s="1" t="s">
        <v>144</v>
      </c>
      <c r="AE82" s="1" t="s">
        <v>69</v>
      </c>
      <c r="AG82" s="1">
        <v>11610420</v>
      </c>
    </row>
    <row r="83" spans="1:33" s="1" customFormat="1" x14ac:dyDescent="0.25">
      <c r="C83" s="1" t="s">
        <v>586</v>
      </c>
      <c r="E83" s="1" t="s">
        <v>587</v>
      </c>
      <c r="F83" s="13" t="s">
        <v>6952</v>
      </c>
      <c r="G83" s="1" t="s">
        <v>588</v>
      </c>
      <c r="H83" s="1" t="s">
        <v>160</v>
      </c>
      <c r="I83" s="1">
        <v>1162</v>
      </c>
      <c r="J83" s="1" t="s">
        <v>46</v>
      </c>
      <c r="M83" s="1" t="s">
        <v>47</v>
      </c>
      <c r="N83" s="1" t="s">
        <v>48</v>
      </c>
      <c r="O83" s="9"/>
      <c r="P83" s="1">
        <f>ROUNDUP(2830*(1-$F$3),2)</f>
        <v>2830</v>
      </c>
      <c r="Q83" s="1" t="s">
        <v>49</v>
      </c>
      <c r="R83" s="1" t="s">
        <v>589</v>
      </c>
      <c r="S83" s="1" t="s">
        <v>590</v>
      </c>
      <c r="T83" s="9">
        <v>22</v>
      </c>
      <c r="U83" s="1">
        <f>ROUNDUP(2319.67*(1-$F$3),2)</f>
        <v>2319.67</v>
      </c>
      <c r="V83" s="1">
        <v>989</v>
      </c>
      <c r="Y83" s="1" t="s">
        <v>591</v>
      </c>
      <c r="Z83" s="1" t="s">
        <v>76</v>
      </c>
      <c r="AA83" s="12">
        <v>45706</v>
      </c>
      <c r="AB83" s="1" t="s">
        <v>66</v>
      </c>
      <c r="AC83" s="1" t="s">
        <v>67</v>
      </c>
      <c r="AD83" s="1" t="s">
        <v>165</v>
      </c>
      <c r="AE83" s="1" t="s">
        <v>69</v>
      </c>
      <c r="AG83" s="1">
        <v>11664140</v>
      </c>
    </row>
    <row r="84" spans="1:33" s="1" customFormat="1" x14ac:dyDescent="0.25">
      <c r="C84" s="1" t="s">
        <v>592</v>
      </c>
      <c r="E84" s="1" t="s">
        <v>593</v>
      </c>
      <c r="F84" s="13" t="s">
        <v>6952</v>
      </c>
      <c r="G84" s="1" t="s">
        <v>594</v>
      </c>
      <c r="H84" s="1" t="s">
        <v>61</v>
      </c>
      <c r="I84" s="1">
        <v>368</v>
      </c>
      <c r="J84" s="1" t="s">
        <v>46</v>
      </c>
      <c r="M84" s="1" t="s">
        <v>47</v>
      </c>
      <c r="N84" s="1" t="s">
        <v>48</v>
      </c>
      <c r="O84" s="9">
        <v>6</v>
      </c>
      <c r="P84" s="1">
        <f>ROUNDUP(1140*(1-$F$3),2)</f>
        <v>1140</v>
      </c>
      <c r="Q84" s="1" t="s">
        <v>49</v>
      </c>
      <c r="R84" s="1" t="s">
        <v>595</v>
      </c>
      <c r="S84" s="1" t="s">
        <v>596</v>
      </c>
      <c r="T84" s="9">
        <v>22</v>
      </c>
      <c r="U84" s="1">
        <f>ROUNDUP(934.43*(1-$F$3),2)</f>
        <v>934.43</v>
      </c>
      <c r="V84" s="1">
        <v>417</v>
      </c>
      <c r="Y84" s="1" t="s">
        <v>597</v>
      </c>
      <c r="Z84" s="1" t="s">
        <v>76</v>
      </c>
      <c r="AA84" s="12">
        <v>45628</v>
      </c>
      <c r="AB84" s="1" t="s">
        <v>66</v>
      </c>
      <c r="AC84" s="1" t="s">
        <v>120</v>
      </c>
      <c r="AD84" s="1" t="s">
        <v>598</v>
      </c>
      <c r="AE84" s="1" t="s">
        <v>69</v>
      </c>
      <c r="AG84" s="1">
        <v>11519970</v>
      </c>
    </row>
    <row r="85" spans="1:33" s="1" customFormat="1" x14ac:dyDescent="0.25">
      <c r="C85" s="1" t="s">
        <v>599</v>
      </c>
      <c r="E85" s="1" t="s">
        <v>600</v>
      </c>
      <c r="F85" s="13" t="s">
        <v>6952</v>
      </c>
      <c r="G85" s="1" t="s">
        <v>601</v>
      </c>
      <c r="H85" s="1" t="s">
        <v>61</v>
      </c>
      <c r="I85" s="1">
        <v>400</v>
      </c>
      <c r="J85" s="1" t="s">
        <v>46</v>
      </c>
      <c r="M85" s="1" t="s">
        <v>47</v>
      </c>
      <c r="N85" s="1" t="s">
        <v>48</v>
      </c>
      <c r="O85" s="9">
        <v>5</v>
      </c>
      <c r="P85" s="1">
        <f>ROUNDUP(1270*(1-$F$3),2)</f>
        <v>1270</v>
      </c>
      <c r="Q85" s="1" t="s">
        <v>49</v>
      </c>
      <c r="R85" s="1" t="s">
        <v>602</v>
      </c>
      <c r="S85" s="1" t="s">
        <v>603</v>
      </c>
      <c r="T85" s="9">
        <v>10</v>
      </c>
      <c r="U85" s="1">
        <f>ROUNDUP(1154.55*(1-$F$3),2)</f>
        <v>1154.55</v>
      </c>
      <c r="V85" s="1">
        <v>526</v>
      </c>
      <c r="Y85" s="1" t="s">
        <v>604</v>
      </c>
      <c r="Z85" s="1" t="s">
        <v>53</v>
      </c>
      <c r="AA85" s="12">
        <v>45607</v>
      </c>
      <c r="AB85" s="1" t="s">
        <v>66</v>
      </c>
      <c r="AC85" s="1" t="s">
        <v>77</v>
      </c>
      <c r="AD85" s="1" t="s">
        <v>605</v>
      </c>
      <c r="AE85" s="1" t="s">
        <v>69</v>
      </c>
      <c r="AG85" s="1">
        <v>11536070</v>
      </c>
    </row>
    <row r="86" spans="1:33" s="11" customFormat="1" x14ac:dyDescent="0.25">
      <c r="A86" s="11" t="s">
        <v>6953</v>
      </c>
      <c r="C86" s="11" t="s">
        <v>606</v>
      </c>
      <c r="E86" s="11" t="s">
        <v>607</v>
      </c>
      <c r="F86" s="14" t="s">
        <v>6952</v>
      </c>
      <c r="G86" s="11" t="s">
        <v>353</v>
      </c>
      <c r="H86" s="11" t="s">
        <v>61</v>
      </c>
      <c r="I86" s="11">
        <v>768</v>
      </c>
      <c r="J86" s="11" t="s">
        <v>46</v>
      </c>
      <c r="M86" s="11" t="s">
        <v>62</v>
      </c>
      <c r="N86" s="11" t="s">
        <v>48</v>
      </c>
      <c r="O86" s="23">
        <v>5</v>
      </c>
      <c r="P86" s="11">
        <f>ROUNDUP(2610*(1-$F$3),2)</f>
        <v>2610</v>
      </c>
      <c r="Q86" s="11" t="s">
        <v>49</v>
      </c>
      <c r="R86" s="11" t="s">
        <v>608</v>
      </c>
      <c r="S86" s="11" t="s">
        <v>609</v>
      </c>
      <c r="T86" s="23">
        <v>10</v>
      </c>
      <c r="U86" s="11">
        <f>ROUNDUP(2372.73*(1-$F$3),2)</f>
        <v>2372.73</v>
      </c>
      <c r="V86" s="11">
        <v>987</v>
      </c>
      <c r="Y86" s="11" t="s">
        <v>610</v>
      </c>
      <c r="Z86" s="11" t="s">
        <v>53</v>
      </c>
      <c r="AA86" s="15">
        <v>46002</v>
      </c>
      <c r="AB86" s="11" t="s">
        <v>334</v>
      </c>
      <c r="AC86" s="11" t="s">
        <v>335</v>
      </c>
      <c r="AD86" s="11" t="s">
        <v>357</v>
      </c>
      <c r="AE86" s="11" t="s">
        <v>69</v>
      </c>
      <c r="AG86" s="11">
        <v>11964980</v>
      </c>
    </row>
    <row r="87" spans="1:33" s="1" customFormat="1" x14ac:dyDescent="0.25">
      <c r="C87" s="1" t="s">
        <v>611</v>
      </c>
      <c r="E87" s="1" t="s">
        <v>612</v>
      </c>
      <c r="F87" s="13" t="s">
        <v>6952</v>
      </c>
      <c r="G87" s="1" t="s">
        <v>569</v>
      </c>
      <c r="H87" s="1" t="s">
        <v>61</v>
      </c>
      <c r="I87" s="1">
        <v>336</v>
      </c>
      <c r="J87" s="1" t="s">
        <v>46</v>
      </c>
      <c r="M87" s="1" t="s">
        <v>62</v>
      </c>
      <c r="N87" s="1" t="s">
        <v>48</v>
      </c>
      <c r="O87" s="9">
        <v>8</v>
      </c>
      <c r="P87" s="1">
        <f>ROUNDUP(1500*(1-$F$3),2)</f>
        <v>1500</v>
      </c>
      <c r="Q87" s="1" t="s">
        <v>49</v>
      </c>
      <c r="R87" s="1" t="s">
        <v>613</v>
      </c>
      <c r="S87" s="1" t="s">
        <v>614</v>
      </c>
      <c r="T87" s="9">
        <v>10</v>
      </c>
      <c r="U87" s="1">
        <f>ROUNDUP(1363.64*(1-$F$3),2)</f>
        <v>1363.64</v>
      </c>
      <c r="V87" s="1">
        <v>498</v>
      </c>
      <c r="Y87" s="1" t="s">
        <v>615</v>
      </c>
      <c r="Z87" s="1" t="s">
        <v>53</v>
      </c>
      <c r="AA87" s="12">
        <v>46002</v>
      </c>
      <c r="AB87" s="1" t="s">
        <v>66</v>
      </c>
      <c r="AC87" s="1" t="s">
        <v>77</v>
      </c>
      <c r="AD87" s="1" t="s">
        <v>78</v>
      </c>
      <c r="AE87" s="1" t="s">
        <v>69</v>
      </c>
      <c r="AG87" s="1">
        <v>11959200</v>
      </c>
    </row>
    <row r="88" spans="1:33" s="1" customFormat="1" x14ac:dyDescent="0.25">
      <c r="C88" s="1" t="s">
        <v>616</v>
      </c>
      <c r="E88" s="1" t="s">
        <v>617</v>
      </c>
      <c r="F88" s="13" t="s">
        <v>6952</v>
      </c>
      <c r="G88" s="1" t="s">
        <v>569</v>
      </c>
      <c r="H88" s="1" t="s">
        <v>61</v>
      </c>
      <c r="I88" s="1">
        <v>400</v>
      </c>
      <c r="J88" s="1" t="s">
        <v>46</v>
      </c>
      <c r="M88" s="1" t="s">
        <v>62</v>
      </c>
      <c r="N88" s="1" t="s">
        <v>48</v>
      </c>
      <c r="O88" s="9">
        <v>8</v>
      </c>
      <c r="P88" s="1">
        <f>ROUNDUP(1500*(1-$F$3),2)</f>
        <v>1500</v>
      </c>
      <c r="Q88" s="1" t="s">
        <v>49</v>
      </c>
      <c r="R88" s="1" t="s">
        <v>618</v>
      </c>
      <c r="S88" s="1" t="s">
        <v>619</v>
      </c>
      <c r="T88" s="9">
        <v>10</v>
      </c>
      <c r="U88" s="1">
        <f>ROUNDUP(1363.64*(1-$F$3),2)</f>
        <v>1363.64</v>
      </c>
      <c r="V88" s="1">
        <v>576</v>
      </c>
      <c r="Y88" s="1" t="s">
        <v>620</v>
      </c>
      <c r="Z88" s="1" t="s">
        <v>53</v>
      </c>
      <c r="AA88" s="12">
        <v>46002</v>
      </c>
      <c r="AB88" s="1" t="s">
        <v>66</v>
      </c>
      <c r="AC88" s="1" t="s">
        <v>77</v>
      </c>
      <c r="AD88" s="1" t="s">
        <v>78</v>
      </c>
      <c r="AE88" s="1" t="s">
        <v>69</v>
      </c>
      <c r="AG88" s="1">
        <v>11959190</v>
      </c>
    </row>
    <row r="89" spans="1:33" s="1" customFormat="1" x14ac:dyDescent="0.25">
      <c r="C89" s="1" t="s">
        <v>621</v>
      </c>
      <c r="E89" s="1" t="s">
        <v>622</v>
      </c>
      <c r="F89" s="13" t="s">
        <v>6952</v>
      </c>
      <c r="G89" s="1" t="s">
        <v>623</v>
      </c>
      <c r="H89" s="1" t="s">
        <v>160</v>
      </c>
      <c r="I89" s="1">
        <v>192</v>
      </c>
      <c r="J89" s="1" t="s">
        <v>46</v>
      </c>
      <c r="M89" s="1" t="s">
        <v>169</v>
      </c>
      <c r="N89" s="1" t="s">
        <v>139</v>
      </c>
      <c r="O89" s="9">
        <v>24</v>
      </c>
      <c r="P89" s="1">
        <f>ROUNDUP(750*(1-$F$3),2)</f>
        <v>750</v>
      </c>
      <c r="Q89" s="1" t="s">
        <v>49</v>
      </c>
      <c r="R89" s="1" t="s">
        <v>624</v>
      </c>
      <c r="S89" s="1" t="s">
        <v>625</v>
      </c>
      <c r="T89" s="9">
        <v>10</v>
      </c>
      <c r="U89" s="1">
        <f>ROUNDUP(681.82*(1-$F$3),2)</f>
        <v>681.82</v>
      </c>
      <c r="V89" s="1">
        <v>208</v>
      </c>
      <c r="Y89" s="1" t="s">
        <v>626</v>
      </c>
      <c r="Z89" s="1" t="s">
        <v>76</v>
      </c>
      <c r="AA89" s="12">
        <v>44652</v>
      </c>
      <c r="AB89" s="1" t="s">
        <v>334</v>
      </c>
      <c r="AC89" s="1" t="s">
        <v>627</v>
      </c>
      <c r="AD89" s="1" t="s">
        <v>628</v>
      </c>
      <c r="AE89" s="1" t="s">
        <v>69</v>
      </c>
      <c r="AG89" s="1">
        <v>10402780</v>
      </c>
    </row>
    <row r="90" spans="1:33" s="1" customFormat="1" x14ac:dyDescent="0.25">
      <c r="C90" s="1" t="s">
        <v>629</v>
      </c>
      <c r="E90" s="1" t="s">
        <v>630</v>
      </c>
      <c r="F90" s="13" t="s">
        <v>6952</v>
      </c>
      <c r="G90" s="1" t="s">
        <v>601</v>
      </c>
      <c r="H90" s="1" t="s">
        <v>61</v>
      </c>
      <c r="I90" s="1">
        <v>400</v>
      </c>
      <c r="J90" s="1" t="s">
        <v>46</v>
      </c>
      <c r="M90" s="1" t="s">
        <v>47</v>
      </c>
      <c r="N90" s="1" t="s">
        <v>48</v>
      </c>
      <c r="O90" s="9">
        <v>5</v>
      </c>
      <c r="P90" s="1">
        <f>ROUNDUP(1270*(1-$F$3),2)</f>
        <v>1270</v>
      </c>
      <c r="Q90" s="1" t="s">
        <v>49</v>
      </c>
      <c r="R90" s="1" t="s">
        <v>631</v>
      </c>
      <c r="S90" s="1" t="s">
        <v>632</v>
      </c>
      <c r="T90" s="9">
        <v>10</v>
      </c>
      <c r="U90" s="1">
        <f>ROUNDUP(1154.55*(1-$F$3),2)</f>
        <v>1154.55</v>
      </c>
      <c r="V90" s="1">
        <v>527</v>
      </c>
      <c r="Y90" s="1" t="s">
        <v>633</v>
      </c>
      <c r="Z90" s="1" t="s">
        <v>53</v>
      </c>
      <c r="AA90" s="12">
        <v>45607</v>
      </c>
      <c r="AB90" s="1" t="s">
        <v>66</v>
      </c>
      <c r="AC90" s="1" t="s">
        <v>77</v>
      </c>
      <c r="AD90" s="1" t="s">
        <v>605</v>
      </c>
      <c r="AE90" s="1" t="s">
        <v>69</v>
      </c>
      <c r="AG90" s="1">
        <v>11536120</v>
      </c>
    </row>
    <row r="91" spans="1:33" s="11" customFormat="1" x14ac:dyDescent="0.25">
      <c r="A91" s="11" t="s">
        <v>6953</v>
      </c>
      <c r="C91" s="11" t="s">
        <v>634</v>
      </c>
      <c r="E91" s="11" t="s">
        <v>635</v>
      </c>
      <c r="F91" s="14" t="s">
        <v>6952</v>
      </c>
      <c r="G91" s="11" t="s">
        <v>636</v>
      </c>
      <c r="H91" s="11" t="s">
        <v>637</v>
      </c>
      <c r="I91" s="11">
        <v>832</v>
      </c>
      <c r="J91" s="11" t="s">
        <v>46</v>
      </c>
      <c r="M91" s="11" t="s">
        <v>62</v>
      </c>
      <c r="N91" s="11" t="s">
        <v>48</v>
      </c>
      <c r="O91" s="23">
        <v>3</v>
      </c>
      <c r="P91" s="11">
        <f>ROUNDUP(1690*(1-$F$3),2)</f>
        <v>1690</v>
      </c>
      <c r="Q91" s="11" t="s">
        <v>49</v>
      </c>
      <c r="R91" s="11" t="s">
        <v>638</v>
      </c>
      <c r="S91" s="11" t="s">
        <v>639</v>
      </c>
      <c r="T91" s="23">
        <v>22</v>
      </c>
      <c r="U91" s="11">
        <f>ROUNDUP(1385.25*(1-$F$3),2)</f>
        <v>1385.25</v>
      </c>
      <c r="V91" s="11">
        <v>1033</v>
      </c>
      <c r="Y91" s="11" t="s">
        <v>640</v>
      </c>
      <c r="Z91" s="11" t="s">
        <v>76</v>
      </c>
      <c r="AA91" s="15">
        <v>46091</v>
      </c>
      <c r="AB91" s="11" t="s">
        <v>66</v>
      </c>
      <c r="AC91" s="11" t="s">
        <v>77</v>
      </c>
      <c r="AD91" s="11" t="s">
        <v>78</v>
      </c>
      <c r="AE91" s="11" t="s">
        <v>69</v>
      </c>
      <c r="AG91" s="11">
        <v>12039300</v>
      </c>
    </row>
    <row r="92" spans="1:33" s="1" customFormat="1" x14ac:dyDescent="0.25">
      <c r="C92" s="1" t="s">
        <v>641</v>
      </c>
      <c r="E92" s="1" t="s">
        <v>642</v>
      </c>
      <c r="F92" s="13" t="s">
        <v>6952</v>
      </c>
      <c r="G92" s="1" t="s">
        <v>44</v>
      </c>
      <c r="H92" s="1" t="s">
        <v>45</v>
      </c>
      <c r="I92" s="1">
        <v>1096</v>
      </c>
      <c r="J92" s="1" t="s">
        <v>46</v>
      </c>
      <c r="M92" s="1" t="s">
        <v>47</v>
      </c>
      <c r="N92" s="1" t="s">
        <v>48</v>
      </c>
      <c r="O92" s="9">
        <v>6</v>
      </c>
      <c r="P92" s="1">
        <f>ROUNDUP(6100*(1-$F$3),2)</f>
        <v>6100</v>
      </c>
      <c r="Q92" s="1" t="s">
        <v>49</v>
      </c>
      <c r="R92" s="1" t="s">
        <v>643</v>
      </c>
      <c r="S92" s="1" t="s">
        <v>644</v>
      </c>
      <c r="T92" s="9">
        <v>10</v>
      </c>
      <c r="U92" s="1">
        <f>ROUNDUP(5545.45*(1-$F$3),2)</f>
        <v>5545.45</v>
      </c>
      <c r="V92" s="1">
        <v>2927</v>
      </c>
      <c r="Y92" s="1" t="s">
        <v>645</v>
      </c>
      <c r="Z92" s="1" t="s">
        <v>53</v>
      </c>
      <c r="AA92" s="12">
        <v>45593</v>
      </c>
      <c r="AB92" s="1" t="s">
        <v>54</v>
      </c>
      <c r="AC92" s="1" t="s">
        <v>646</v>
      </c>
      <c r="AD92" s="1" t="s">
        <v>647</v>
      </c>
      <c r="AE92" s="1" t="s">
        <v>69</v>
      </c>
      <c r="AG92" s="1">
        <v>11504400</v>
      </c>
    </row>
    <row r="93" spans="1:33" s="1" customFormat="1" x14ac:dyDescent="0.25">
      <c r="C93" s="1" t="s">
        <v>648</v>
      </c>
      <c r="E93" s="1" t="s">
        <v>649</v>
      </c>
      <c r="F93" s="13" t="s">
        <v>6952</v>
      </c>
      <c r="G93" s="1" t="s">
        <v>353</v>
      </c>
      <c r="H93" s="1" t="s">
        <v>61</v>
      </c>
      <c r="I93" s="1">
        <v>848</v>
      </c>
      <c r="J93" s="1" t="s">
        <v>46</v>
      </c>
      <c r="M93" s="1" t="s">
        <v>62</v>
      </c>
      <c r="N93" s="1" t="s">
        <v>48</v>
      </c>
      <c r="O93" s="9">
        <v>5</v>
      </c>
      <c r="P93" s="1">
        <f>ROUNDUP(2610*(1-$F$3),2)</f>
        <v>2610</v>
      </c>
      <c r="Q93" s="1" t="s">
        <v>49</v>
      </c>
      <c r="R93" s="1" t="s">
        <v>650</v>
      </c>
      <c r="S93" s="1" t="s">
        <v>651</v>
      </c>
      <c r="T93" s="9">
        <v>10</v>
      </c>
      <c r="U93" s="1">
        <f>ROUNDUP(2372.73*(1-$F$3),2)</f>
        <v>2372.73</v>
      </c>
      <c r="V93" s="1">
        <v>1076</v>
      </c>
      <c r="Y93" s="1" t="s">
        <v>652</v>
      </c>
      <c r="Z93" s="1" t="s">
        <v>53</v>
      </c>
      <c r="AA93" s="12">
        <v>46002</v>
      </c>
      <c r="AB93" s="1" t="s">
        <v>334</v>
      </c>
      <c r="AC93" s="1" t="s">
        <v>335</v>
      </c>
      <c r="AD93" s="1" t="s">
        <v>357</v>
      </c>
      <c r="AE93" s="1" t="s">
        <v>69</v>
      </c>
      <c r="AG93" s="1">
        <v>11964950</v>
      </c>
    </row>
    <row r="94" spans="1:33" s="1" customFormat="1" x14ac:dyDescent="0.25">
      <c r="C94" s="1" t="s">
        <v>653</v>
      </c>
      <c r="E94" s="1" t="s">
        <v>654</v>
      </c>
      <c r="F94" s="13" t="s">
        <v>6952</v>
      </c>
      <c r="G94" s="1" t="s">
        <v>655</v>
      </c>
      <c r="H94" s="1" t="s">
        <v>61</v>
      </c>
      <c r="I94" s="1">
        <v>272</v>
      </c>
      <c r="J94" s="1" t="s">
        <v>46</v>
      </c>
      <c r="M94" s="1" t="s">
        <v>47</v>
      </c>
      <c r="N94" s="1" t="s">
        <v>48</v>
      </c>
      <c r="O94" s="9">
        <v>7</v>
      </c>
      <c r="P94" s="1">
        <f>ROUNDUP(1000*(1-$F$3),2)</f>
        <v>1000</v>
      </c>
      <c r="Q94" s="1" t="s">
        <v>49</v>
      </c>
      <c r="R94" s="1" t="s">
        <v>656</v>
      </c>
      <c r="S94" s="1" t="s">
        <v>657</v>
      </c>
      <c r="T94" s="9">
        <v>22</v>
      </c>
      <c r="U94" s="1">
        <f>ROUNDUP(819.67*(1-$F$3),2)</f>
        <v>819.67</v>
      </c>
      <c r="V94" s="1">
        <v>331</v>
      </c>
      <c r="Y94" s="1" t="s">
        <v>658</v>
      </c>
      <c r="Z94" s="1" t="s">
        <v>76</v>
      </c>
      <c r="AA94" s="12">
        <v>45756</v>
      </c>
      <c r="AB94" s="1" t="s">
        <v>66</v>
      </c>
      <c r="AC94" s="1" t="s">
        <v>77</v>
      </c>
      <c r="AD94" s="1" t="s">
        <v>78</v>
      </c>
      <c r="AE94" s="1" t="s">
        <v>69</v>
      </c>
      <c r="AG94" s="1">
        <v>11708590</v>
      </c>
    </row>
    <row r="95" spans="1:33" s="1" customFormat="1" x14ac:dyDescent="0.25">
      <c r="C95" s="1" t="s">
        <v>659</v>
      </c>
      <c r="E95" s="1" t="s">
        <v>660</v>
      </c>
      <c r="F95" s="13" t="s">
        <v>6952</v>
      </c>
      <c r="G95" s="1" t="s">
        <v>495</v>
      </c>
      <c r="H95" s="1" t="s">
        <v>61</v>
      </c>
      <c r="I95" s="1">
        <v>528</v>
      </c>
      <c r="J95" s="1" t="s">
        <v>46</v>
      </c>
      <c r="M95" s="1" t="s">
        <v>47</v>
      </c>
      <c r="N95" s="1" t="s">
        <v>48</v>
      </c>
      <c r="O95" s="9">
        <v>6</v>
      </c>
      <c r="P95" s="1">
        <f>ROUNDUP(1440*(1-$F$3),2)</f>
        <v>1440</v>
      </c>
      <c r="Q95" s="1" t="s">
        <v>49</v>
      </c>
      <c r="R95" s="1" t="s">
        <v>661</v>
      </c>
      <c r="S95" s="1" t="s">
        <v>662</v>
      </c>
      <c r="T95" s="9">
        <v>22</v>
      </c>
      <c r="U95" s="1">
        <f>ROUNDUP(1180.33*(1-$F$3),2)</f>
        <v>1180.33</v>
      </c>
      <c r="V95" s="1">
        <v>586</v>
      </c>
      <c r="Y95" s="1" t="s">
        <v>663</v>
      </c>
      <c r="Z95" s="1" t="s">
        <v>76</v>
      </c>
      <c r="AA95" s="12">
        <v>45625</v>
      </c>
      <c r="AB95" s="1" t="s">
        <v>66</v>
      </c>
      <c r="AC95" s="1" t="s">
        <v>143</v>
      </c>
      <c r="AD95" s="1" t="s">
        <v>144</v>
      </c>
      <c r="AE95" s="1" t="s">
        <v>69</v>
      </c>
      <c r="AG95" s="1">
        <v>11513340</v>
      </c>
    </row>
    <row r="96" spans="1:33" s="1" customFormat="1" x14ac:dyDescent="0.25">
      <c r="C96" s="1" t="s">
        <v>664</v>
      </c>
      <c r="E96" s="1" t="s">
        <v>665</v>
      </c>
      <c r="F96" s="13" t="s">
        <v>6952</v>
      </c>
      <c r="G96" s="1" t="s">
        <v>666</v>
      </c>
      <c r="H96" s="1" t="s">
        <v>160</v>
      </c>
      <c r="I96" s="1">
        <v>946</v>
      </c>
      <c r="J96" s="1" t="s">
        <v>46</v>
      </c>
      <c r="M96" s="1" t="s">
        <v>161</v>
      </c>
      <c r="N96" s="1" t="s">
        <v>48</v>
      </c>
      <c r="O96" s="9"/>
      <c r="P96" s="1">
        <f>ROUNDUP(3170*(1-$F$3),2)</f>
        <v>3170</v>
      </c>
      <c r="Q96" s="1" t="s">
        <v>49</v>
      </c>
      <c r="R96" s="1" t="s">
        <v>667</v>
      </c>
      <c r="S96" s="1" t="s">
        <v>668</v>
      </c>
      <c r="T96" s="9">
        <v>10</v>
      </c>
      <c r="U96" s="1">
        <f>ROUNDUP(2881.82*(1-$F$3),2)</f>
        <v>2881.82</v>
      </c>
      <c r="V96" s="1">
        <v>1136</v>
      </c>
      <c r="Y96" s="1" t="s">
        <v>669</v>
      </c>
      <c r="Z96" s="1" t="s">
        <v>53</v>
      </c>
      <c r="AA96" s="12">
        <v>45706</v>
      </c>
      <c r="AB96" s="1" t="s">
        <v>66</v>
      </c>
      <c r="AC96" s="1" t="s">
        <v>67</v>
      </c>
      <c r="AD96" s="1" t="s">
        <v>670</v>
      </c>
      <c r="AE96" s="1" t="s">
        <v>69</v>
      </c>
      <c r="AG96" s="1">
        <v>11664280</v>
      </c>
    </row>
    <row r="97" spans="1:33" s="1" customFormat="1" x14ac:dyDescent="0.25">
      <c r="C97" s="1" t="s">
        <v>671</v>
      </c>
      <c r="E97" s="1" t="s">
        <v>672</v>
      </c>
      <c r="F97" s="13" t="s">
        <v>6952</v>
      </c>
      <c r="G97" s="1" t="s">
        <v>673</v>
      </c>
      <c r="H97" s="1" t="s">
        <v>160</v>
      </c>
      <c r="I97" s="1">
        <v>1066</v>
      </c>
      <c r="J97" s="1" t="s">
        <v>46</v>
      </c>
      <c r="M97" s="1" t="s">
        <v>47</v>
      </c>
      <c r="N97" s="1" t="s">
        <v>48</v>
      </c>
      <c r="O97" s="9"/>
      <c r="P97" s="1">
        <f>ROUNDUP(3070*(1-$F$3),2)</f>
        <v>3070</v>
      </c>
      <c r="Q97" s="1" t="s">
        <v>49</v>
      </c>
      <c r="R97" s="1" t="s">
        <v>674</v>
      </c>
      <c r="S97" s="1" t="s">
        <v>675</v>
      </c>
      <c r="T97" s="9">
        <v>10</v>
      </c>
      <c r="U97" s="1">
        <f>ROUNDUP(2790.91*(1-$F$3),2)</f>
        <v>2790.91</v>
      </c>
      <c r="V97" s="1">
        <v>1194</v>
      </c>
      <c r="Y97" s="1" t="s">
        <v>676</v>
      </c>
      <c r="Z97" s="1" t="s">
        <v>53</v>
      </c>
      <c r="AA97" s="12">
        <v>45706</v>
      </c>
      <c r="AB97" s="1" t="s">
        <v>66</v>
      </c>
      <c r="AC97" s="1" t="s">
        <v>67</v>
      </c>
      <c r="AD97" s="1" t="s">
        <v>165</v>
      </c>
      <c r="AE97" s="1" t="s">
        <v>69</v>
      </c>
      <c r="AG97" s="1">
        <v>11664250</v>
      </c>
    </row>
    <row r="98" spans="1:33" s="1" customFormat="1" x14ac:dyDescent="0.25">
      <c r="C98" s="1" t="s">
        <v>677</v>
      </c>
      <c r="E98" s="1" t="s">
        <v>678</v>
      </c>
      <c r="F98" s="13" t="s">
        <v>6952</v>
      </c>
      <c r="G98" s="1" t="s">
        <v>679</v>
      </c>
      <c r="H98" s="1" t="s">
        <v>61</v>
      </c>
      <c r="I98" s="1">
        <v>480</v>
      </c>
      <c r="J98" s="1" t="s">
        <v>46</v>
      </c>
      <c r="M98" s="1" t="s">
        <v>161</v>
      </c>
      <c r="N98" s="1" t="s">
        <v>48</v>
      </c>
      <c r="O98" s="9">
        <v>8</v>
      </c>
      <c r="P98" s="1">
        <f>ROUNDUP(1760*(1-$F$3),2)</f>
        <v>1760</v>
      </c>
      <c r="Q98" s="1" t="s">
        <v>49</v>
      </c>
      <c r="R98" s="1" t="s">
        <v>680</v>
      </c>
      <c r="S98" s="1" t="s">
        <v>681</v>
      </c>
      <c r="T98" s="9">
        <v>10</v>
      </c>
      <c r="U98" s="1">
        <f>ROUNDUP(1600*(1-$F$3),2)</f>
        <v>1600</v>
      </c>
      <c r="V98" s="1">
        <v>592</v>
      </c>
      <c r="Y98" s="1" t="s">
        <v>682</v>
      </c>
      <c r="Z98" s="1" t="s">
        <v>53</v>
      </c>
      <c r="AA98" s="12">
        <v>45056</v>
      </c>
      <c r="AB98" s="1" t="s">
        <v>66</v>
      </c>
      <c r="AC98" s="1" t="s">
        <v>683</v>
      </c>
      <c r="AD98" s="1" t="s">
        <v>684</v>
      </c>
      <c r="AE98" s="1" t="s">
        <v>69</v>
      </c>
      <c r="AG98" s="1">
        <v>10917750</v>
      </c>
    </row>
    <row r="99" spans="1:33" s="1" customFormat="1" x14ac:dyDescent="0.25">
      <c r="C99" s="1" t="s">
        <v>685</v>
      </c>
      <c r="E99" s="1" t="s">
        <v>686</v>
      </c>
      <c r="F99" s="13" t="s">
        <v>6952</v>
      </c>
      <c r="G99" s="1" t="s">
        <v>687</v>
      </c>
      <c r="H99" s="1" t="s">
        <v>61</v>
      </c>
      <c r="I99" s="1">
        <v>272</v>
      </c>
      <c r="J99" s="1" t="s">
        <v>46</v>
      </c>
      <c r="M99" s="1" t="s">
        <v>176</v>
      </c>
      <c r="N99" s="1" t="s">
        <v>48</v>
      </c>
      <c r="O99" s="9">
        <v>12</v>
      </c>
      <c r="P99" s="1">
        <f>ROUNDUP(890*(1-$F$3),2)</f>
        <v>890</v>
      </c>
      <c r="Q99" s="1" t="s">
        <v>49</v>
      </c>
      <c r="R99" s="1" t="s">
        <v>688</v>
      </c>
      <c r="S99" s="1" t="s">
        <v>689</v>
      </c>
      <c r="T99" s="9">
        <v>10</v>
      </c>
      <c r="U99" s="1">
        <f>ROUNDUP(809.09*(1-$F$3),2)</f>
        <v>809.09</v>
      </c>
      <c r="V99" s="1">
        <v>318</v>
      </c>
      <c r="Y99" s="1" t="s">
        <v>690</v>
      </c>
      <c r="Z99" s="1" t="s">
        <v>53</v>
      </c>
      <c r="AA99" s="12">
        <v>45301</v>
      </c>
      <c r="AB99" s="1" t="s">
        <v>86</v>
      </c>
      <c r="AC99" s="1" t="s">
        <v>401</v>
      </c>
      <c r="AD99" s="1" t="s">
        <v>691</v>
      </c>
      <c r="AE99" s="1" t="s">
        <v>69</v>
      </c>
      <c r="AG99" s="1">
        <v>11195960</v>
      </c>
    </row>
    <row r="100" spans="1:33" s="11" customFormat="1" x14ac:dyDescent="0.25">
      <c r="A100" s="11" t="s">
        <v>6953</v>
      </c>
      <c r="C100" s="11" t="s">
        <v>692</v>
      </c>
      <c r="E100" s="11" t="s">
        <v>693</v>
      </c>
      <c r="F100" s="14" t="s">
        <v>6952</v>
      </c>
      <c r="G100" s="11" t="s">
        <v>694</v>
      </c>
      <c r="H100" s="11" t="s">
        <v>61</v>
      </c>
      <c r="I100" s="11">
        <v>288</v>
      </c>
      <c r="J100" s="11" t="s">
        <v>46</v>
      </c>
      <c r="M100" s="11" t="s">
        <v>62</v>
      </c>
      <c r="N100" s="11" t="s">
        <v>48</v>
      </c>
      <c r="O100" s="23">
        <v>12</v>
      </c>
      <c r="P100" s="11">
        <f>ROUNDUP(990*(1-$F$3),2)</f>
        <v>990</v>
      </c>
      <c r="Q100" s="11" t="s">
        <v>49</v>
      </c>
      <c r="R100" s="11" t="s">
        <v>695</v>
      </c>
      <c r="S100" s="11" t="s">
        <v>696</v>
      </c>
      <c r="T100" s="23">
        <v>22</v>
      </c>
      <c r="U100" s="11">
        <f>ROUNDUP(811.48*(1-$F$3),2)</f>
        <v>811.48</v>
      </c>
      <c r="V100" s="11">
        <v>471</v>
      </c>
      <c r="Y100" s="11" t="s">
        <v>697</v>
      </c>
      <c r="Z100" s="11" t="s">
        <v>76</v>
      </c>
      <c r="AA100" s="15">
        <v>46093</v>
      </c>
      <c r="AB100" s="11" t="s">
        <v>66</v>
      </c>
      <c r="AC100" s="11" t="s">
        <v>67</v>
      </c>
      <c r="AD100" s="11" t="s">
        <v>180</v>
      </c>
      <c r="AE100" s="11" t="s">
        <v>69</v>
      </c>
      <c r="AG100" s="11">
        <v>12039310</v>
      </c>
    </row>
    <row r="101" spans="1:33" s="1" customFormat="1" x14ac:dyDescent="0.25">
      <c r="C101" s="1" t="s">
        <v>698</v>
      </c>
      <c r="E101" s="1" t="s">
        <v>699</v>
      </c>
      <c r="F101" s="13" t="s">
        <v>6952</v>
      </c>
      <c r="G101" s="1" t="s">
        <v>700</v>
      </c>
      <c r="H101" s="1" t="s">
        <v>160</v>
      </c>
      <c r="I101" s="1">
        <v>1192</v>
      </c>
      <c r="J101" s="1" t="s">
        <v>46</v>
      </c>
      <c r="M101" s="1" t="s">
        <v>47</v>
      </c>
      <c r="N101" s="1" t="s">
        <v>48</v>
      </c>
      <c r="O101" s="9"/>
      <c r="P101" s="1">
        <f>ROUNDUP(2810*(1-$F$3),2)</f>
        <v>2810</v>
      </c>
      <c r="Q101" s="1" t="s">
        <v>49</v>
      </c>
      <c r="R101" s="1" t="s">
        <v>701</v>
      </c>
      <c r="S101" s="1" t="s">
        <v>702</v>
      </c>
      <c r="T101" s="9">
        <v>10</v>
      </c>
      <c r="U101" s="1">
        <f>ROUNDUP(2554.55*(1-$F$3),2)</f>
        <v>2554.5500000000002</v>
      </c>
      <c r="V101" s="1">
        <v>1284</v>
      </c>
      <c r="Y101" s="1" t="s">
        <v>703</v>
      </c>
      <c r="Z101" s="1" t="s">
        <v>53</v>
      </c>
      <c r="AA101" s="12">
        <v>45706</v>
      </c>
      <c r="AB101" s="1" t="s">
        <v>66</v>
      </c>
      <c r="AC101" s="1" t="s">
        <v>67</v>
      </c>
      <c r="AD101" s="1" t="s">
        <v>165</v>
      </c>
      <c r="AE101" s="1" t="s">
        <v>69</v>
      </c>
      <c r="AG101" s="1">
        <v>11664300</v>
      </c>
    </row>
    <row r="102" spans="1:33" s="1" customFormat="1" x14ac:dyDescent="0.25">
      <c r="C102" s="1" t="s">
        <v>704</v>
      </c>
      <c r="E102" s="1" t="s">
        <v>705</v>
      </c>
      <c r="F102" s="13" t="s">
        <v>6952</v>
      </c>
      <c r="G102" s="1" t="s">
        <v>706</v>
      </c>
      <c r="H102" s="1" t="s">
        <v>707</v>
      </c>
      <c r="I102" s="1">
        <v>72</v>
      </c>
      <c r="J102" s="1" t="s">
        <v>46</v>
      </c>
      <c r="M102" s="1" t="s">
        <v>161</v>
      </c>
      <c r="N102" s="1" t="s">
        <v>48</v>
      </c>
      <c r="O102" s="9">
        <v>10</v>
      </c>
      <c r="P102" s="1">
        <f>ROUNDUP(630*(1-$F$3),2)</f>
        <v>630</v>
      </c>
      <c r="Q102" s="1" t="s">
        <v>49</v>
      </c>
      <c r="R102" s="1" t="s">
        <v>708</v>
      </c>
      <c r="S102" s="1" t="s">
        <v>709</v>
      </c>
      <c r="T102" s="9">
        <v>10</v>
      </c>
      <c r="U102" s="1">
        <f>ROUNDUP(572.73*(1-$F$3),2)</f>
        <v>572.73</v>
      </c>
      <c r="V102" s="1">
        <v>564</v>
      </c>
      <c r="Y102" s="1" t="s">
        <v>710</v>
      </c>
      <c r="Z102" s="1" t="s">
        <v>711</v>
      </c>
      <c r="AA102" s="12">
        <v>44924</v>
      </c>
      <c r="AB102" s="1" t="s">
        <v>573</v>
      </c>
      <c r="AC102" s="1" t="s">
        <v>66</v>
      </c>
      <c r="AD102" s="1" t="s">
        <v>712</v>
      </c>
      <c r="AE102" s="1" t="s">
        <v>69</v>
      </c>
      <c r="AG102" s="1">
        <v>10726950</v>
      </c>
    </row>
    <row r="103" spans="1:33" s="1" customFormat="1" x14ac:dyDescent="0.25">
      <c r="C103" s="1" t="s">
        <v>713</v>
      </c>
      <c r="E103" s="1" t="s">
        <v>714</v>
      </c>
      <c r="F103" s="13" t="s">
        <v>6952</v>
      </c>
      <c r="G103" s="1" t="s">
        <v>715</v>
      </c>
      <c r="H103" s="1" t="s">
        <v>61</v>
      </c>
      <c r="I103" s="1">
        <v>320</v>
      </c>
      <c r="J103" s="1" t="s">
        <v>46</v>
      </c>
      <c r="M103" s="1" t="s">
        <v>47</v>
      </c>
      <c r="N103" s="1" t="s">
        <v>48</v>
      </c>
      <c r="O103" s="9">
        <v>5</v>
      </c>
      <c r="P103" s="1">
        <f>ROUNDUP(1250*(1-$F$3),2)</f>
        <v>1250</v>
      </c>
      <c r="Q103" s="1" t="s">
        <v>49</v>
      </c>
      <c r="R103" s="1" t="s">
        <v>716</v>
      </c>
      <c r="S103" s="1" t="s">
        <v>717</v>
      </c>
      <c r="T103" s="9">
        <v>10</v>
      </c>
      <c r="U103" s="1">
        <f>ROUNDUP(1136.36*(1-$F$3),2)</f>
        <v>1136.3599999999999</v>
      </c>
      <c r="V103" s="1">
        <v>471</v>
      </c>
      <c r="Y103" s="1" t="s">
        <v>718</v>
      </c>
      <c r="Z103" s="1" t="s">
        <v>128</v>
      </c>
      <c r="AA103" s="12">
        <v>45910</v>
      </c>
      <c r="AB103" s="1" t="s">
        <v>286</v>
      </c>
      <c r="AC103" s="1" t="s">
        <v>719</v>
      </c>
      <c r="AD103" s="1" t="s">
        <v>720</v>
      </c>
      <c r="AE103" s="1" t="s">
        <v>69</v>
      </c>
      <c r="AG103" s="1">
        <v>11860060</v>
      </c>
    </row>
    <row r="104" spans="1:33" s="1" customFormat="1" x14ac:dyDescent="0.25">
      <c r="C104" s="1" t="s">
        <v>721</v>
      </c>
      <c r="E104" s="1" t="s">
        <v>722</v>
      </c>
      <c r="F104" s="13" t="s">
        <v>6952</v>
      </c>
      <c r="G104" s="1" t="s">
        <v>723</v>
      </c>
      <c r="H104" s="1" t="s">
        <v>724</v>
      </c>
      <c r="I104" s="1">
        <v>480</v>
      </c>
      <c r="J104" s="1" t="s">
        <v>46</v>
      </c>
      <c r="M104" s="1" t="s">
        <v>176</v>
      </c>
      <c r="N104" s="1" t="s">
        <v>48</v>
      </c>
      <c r="O104" s="9">
        <v>3</v>
      </c>
      <c r="P104" s="1">
        <f>ROUNDUP(6470*(1-$F$3),2)</f>
        <v>6470</v>
      </c>
      <c r="Q104" s="1" t="s">
        <v>49</v>
      </c>
      <c r="R104" s="1" t="s">
        <v>725</v>
      </c>
      <c r="S104" s="1" t="s">
        <v>726</v>
      </c>
      <c r="T104" s="9">
        <v>10</v>
      </c>
      <c r="U104" s="1">
        <f>ROUNDUP(5881.82*(1-$F$3),2)</f>
        <v>5881.82</v>
      </c>
      <c r="V104" s="1">
        <v>1624</v>
      </c>
      <c r="Y104" s="1" t="s">
        <v>727</v>
      </c>
      <c r="AA104" s="12">
        <v>42725</v>
      </c>
      <c r="AB104" s="1" t="s">
        <v>728</v>
      </c>
      <c r="AC104" s="1" t="s">
        <v>729</v>
      </c>
      <c r="AD104" s="1" t="s">
        <v>730</v>
      </c>
      <c r="AE104" s="1" t="s">
        <v>69</v>
      </c>
      <c r="AG104" s="1">
        <v>7954640</v>
      </c>
    </row>
    <row r="105" spans="1:33" s="1" customFormat="1" x14ac:dyDescent="0.25">
      <c r="C105" s="1" t="s">
        <v>731</v>
      </c>
      <c r="E105" s="1" t="s">
        <v>732</v>
      </c>
      <c r="F105" s="13" t="s">
        <v>6952</v>
      </c>
      <c r="G105" s="1" t="s">
        <v>733</v>
      </c>
      <c r="H105" s="1" t="s">
        <v>724</v>
      </c>
      <c r="I105" s="1">
        <v>528</v>
      </c>
      <c r="J105" s="1" t="s">
        <v>46</v>
      </c>
      <c r="M105" s="1" t="s">
        <v>47</v>
      </c>
      <c r="N105" s="1" t="s">
        <v>48</v>
      </c>
      <c r="O105" s="9">
        <v>3</v>
      </c>
      <c r="P105" s="1">
        <f>ROUNDUP(3660*(1-$F$3),2)</f>
        <v>3660</v>
      </c>
      <c r="Q105" s="1" t="s">
        <v>49</v>
      </c>
      <c r="R105" s="1" t="s">
        <v>734</v>
      </c>
      <c r="S105" s="1" t="s">
        <v>735</v>
      </c>
      <c r="T105" s="9">
        <v>10</v>
      </c>
      <c r="U105" s="1">
        <f>ROUNDUP(3327.27*(1-$F$3),2)</f>
        <v>3327.27</v>
      </c>
      <c r="V105" s="1">
        <v>1604</v>
      </c>
      <c r="Y105" s="1" t="s">
        <v>736</v>
      </c>
      <c r="Z105" s="1" t="s">
        <v>53</v>
      </c>
      <c r="AA105" s="12">
        <v>45944</v>
      </c>
      <c r="AB105" s="1" t="s">
        <v>445</v>
      </c>
      <c r="AC105" s="1" t="s">
        <v>737</v>
      </c>
      <c r="AD105" s="1" t="s">
        <v>738</v>
      </c>
      <c r="AE105" s="1" t="s">
        <v>69</v>
      </c>
      <c r="AG105" s="1">
        <v>11874680</v>
      </c>
    </row>
    <row r="106" spans="1:33" s="1" customFormat="1" x14ac:dyDescent="0.25">
      <c r="C106" s="1" t="s">
        <v>739</v>
      </c>
      <c r="D106" s="1" t="s">
        <v>740</v>
      </c>
      <c r="E106" s="1" t="s">
        <v>741</v>
      </c>
      <c r="F106" s="13" t="s">
        <v>6952</v>
      </c>
      <c r="G106" s="1" t="s">
        <v>742</v>
      </c>
      <c r="H106" s="1" t="s">
        <v>160</v>
      </c>
      <c r="I106" s="1">
        <v>352</v>
      </c>
      <c r="J106" s="1" t="s">
        <v>46</v>
      </c>
      <c r="M106" s="1" t="s">
        <v>47</v>
      </c>
      <c r="N106" s="1" t="s">
        <v>139</v>
      </c>
      <c r="O106" s="9">
        <v>6</v>
      </c>
      <c r="P106" s="1">
        <f>ROUNDUP(438.9*(1-$F$3),2)</f>
        <v>438.9</v>
      </c>
      <c r="Q106" s="1" t="s">
        <v>49</v>
      </c>
      <c r="R106" s="1" t="s">
        <v>743</v>
      </c>
      <c r="S106" s="1" t="s">
        <v>744</v>
      </c>
      <c r="T106" s="9">
        <v>22</v>
      </c>
      <c r="U106" s="1">
        <f>ROUNDUP(359.75*(1-$F$3),2)</f>
        <v>359.75</v>
      </c>
      <c r="V106" s="1">
        <v>209</v>
      </c>
      <c r="Y106" s="1" t="s">
        <v>745</v>
      </c>
      <c r="Z106" s="1" t="s">
        <v>53</v>
      </c>
      <c r="AA106" s="12">
        <v>45590</v>
      </c>
      <c r="AB106" s="1" t="s">
        <v>286</v>
      </c>
      <c r="AC106" s="1" t="s">
        <v>320</v>
      </c>
      <c r="AD106" s="1" t="s">
        <v>746</v>
      </c>
      <c r="AE106" s="1" t="s">
        <v>69</v>
      </c>
      <c r="AG106" s="1">
        <v>11499420</v>
      </c>
    </row>
    <row r="107" spans="1:33" s="1" customFormat="1" x14ac:dyDescent="0.25">
      <c r="C107" s="1" t="s">
        <v>747</v>
      </c>
      <c r="D107" s="1" t="s">
        <v>748</v>
      </c>
      <c r="E107" s="1" t="s">
        <v>749</v>
      </c>
      <c r="F107" s="13" t="s">
        <v>6952</v>
      </c>
      <c r="G107" s="1" t="s">
        <v>750</v>
      </c>
      <c r="H107" s="1" t="s">
        <v>61</v>
      </c>
      <c r="I107" s="1">
        <v>496</v>
      </c>
      <c r="J107" s="1" t="s">
        <v>46</v>
      </c>
      <c r="M107" s="1" t="s">
        <v>169</v>
      </c>
      <c r="N107" s="1" t="s">
        <v>48</v>
      </c>
      <c r="O107" s="9">
        <v>10</v>
      </c>
      <c r="P107" s="1">
        <f>ROUNDUP(1340*(1-$F$3),2)</f>
        <v>1340</v>
      </c>
      <c r="Q107" s="1" t="s">
        <v>49</v>
      </c>
      <c r="R107" s="1" t="s">
        <v>751</v>
      </c>
      <c r="S107" s="1" t="s">
        <v>752</v>
      </c>
      <c r="T107" s="9">
        <v>10</v>
      </c>
      <c r="U107" s="1">
        <f>ROUNDUP(1218.18*(1-$F$3),2)</f>
        <v>1218.18</v>
      </c>
      <c r="V107" s="1">
        <v>589</v>
      </c>
      <c r="Y107" s="1" t="s">
        <v>748</v>
      </c>
      <c r="Z107" s="1" t="s">
        <v>76</v>
      </c>
      <c r="AA107" s="12">
        <v>44741</v>
      </c>
      <c r="AB107" s="1" t="s">
        <v>66</v>
      </c>
      <c r="AC107" s="1" t="s">
        <v>120</v>
      </c>
      <c r="AD107" s="1" t="s">
        <v>121</v>
      </c>
      <c r="AE107" s="1" t="s">
        <v>69</v>
      </c>
      <c r="AG107" s="1">
        <v>10309320</v>
      </c>
    </row>
    <row r="108" spans="1:33" s="1" customFormat="1" x14ac:dyDescent="0.25">
      <c r="C108" s="1" t="s">
        <v>753</v>
      </c>
      <c r="D108" s="1" t="s">
        <v>748</v>
      </c>
      <c r="E108" s="1" t="s">
        <v>754</v>
      </c>
      <c r="F108" s="13" t="s">
        <v>6952</v>
      </c>
      <c r="G108" s="1" t="s">
        <v>755</v>
      </c>
      <c r="H108" s="1" t="s">
        <v>61</v>
      </c>
      <c r="I108" s="1">
        <v>400</v>
      </c>
      <c r="J108" s="1" t="s">
        <v>46</v>
      </c>
      <c r="M108" s="1" t="s">
        <v>756</v>
      </c>
      <c r="N108" s="1" t="s">
        <v>48</v>
      </c>
      <c r="O108" s="9">
        <v>10</v>
      </c>
      <c r="P108" s="1">
        <f>ROUNDUP(1150*(1-$F$3),2)</f>
        <v>1150</v>
      </c>
      <c r="Q108" s="1" t="s">
        <v>49</v>
      </c>
      <c r="R108" s="1" t="s">
        <v>757</v>
      </c>
      <c r="S108" s="1" t="s">
        <v>758</v>
      </c>
      <c r="T108" s="9">
        <v>10</v>
      </c>
      <c r="U108" s="1">
        <f>ROUNDUP(1045.45*(1-$F$3),2)</f>
        <v>1045.45</v>
      </c>
      <c r="V108" s="1">
        <v>509</v>
      </c>
      <c r="Y108" s="1" t="s">
        <v>759</v>
      </c>
      <c r="Z108" s="1" t="s">
        <v>53</v>
      </c>
      <c r="AA108" s="12">
        <v>44215</v>
      </c>
      <c r="AB108" s="1" t="s">
        <v>66</v>
      </c>
      <c r="AC108" s="1" t="s">
        <v>120</v>
      </c>
      <c r="AD108" s="1" t="s">
        <v>121</v>
      </c>
      <c r="AE108" s="1" t="s">
        <v>69</v>
      </c>
      <c r="AG108" s="1">
        <v>9588320</v>
      </c>
    </row>
    <row r="109" spans="1:33" s="1" customFormat="1" x14ac:dyDescent="0.25">
      <c r="C109" s="1" t="s">
        <v>760</v>
      </c>
      <c r="D109" s="1" t="s">
        <v>748</v>
      </c>
      <c r="E109" s="1" t="s">
        <v>761</v>
      </c>
      <c r="F109" s="13" t="s">
        <v>6952</v>
      </c>
      <c r="G109" s="1" t="s">
        <v>762</v>
      </c>
      <c r="H109" s="1" t="s">
        <v>61</v>
      </c>
      <c r="I109" s="1">
        <v>448</v>
      </c>
      <c r="J109" s="1" t="s">
        <v>46</v>
      </c>
      <c r="M109" s="1" t="s">
        <v>756</v>
      </c>
      <c r="N109" s="1" t="s">
        <v>48</v>
      </c>
      <c r="O109" s="9">
        <v>8</v>
      </c>
      <c r="P109" s="1">
        <f>ROUNDUP(1300*(1-$F$3),2)</f>
        <v>1300</v>
      </c>
      <c r="Q109" s="1" t="s">
        <v>49</v>
      </c>
      <c r="R109" s="1" t="s">
        <v>763</v>
      </c>
      <c r="S109" s="1" t="s">
        <v>764</v>
      </c>
      <c r="T109" s="9">
        <v>10</v>
      </c>
      <c r="U109" s="1">
        <f>ROUNDUP(1181.82*(1-$F$3),2)</f>
        <v>1181.82</v>
      </c>
      <c r="V109" s="1">
        <v>503</v>
      </c>
      <c r="Y109" s="1" t="s">
        <v>765</v>
      </c>
      <c r="Z109" s="1" t="s">
        <v>76</v>
      </c>
      <c r="AA109" s="12">
        <v>44161</v>
      </c>
      <c r="AB109" s="1" t="s">
        <v>66</v>
      </c>
      <c r="AC109" s="1" t="s">
        <v>120</v>
      </c>
      <c r="AD109" s="1" t="s">
        <v>121</v>
      </c>
      <c r="AE109" s="1" t="s">
        <v>69</v>
      </c>
      <c r="AG109" s="1">
        <v>9561550</v>
      </c>
    </row>
    <row r="110" spans="1:33" s="1" customFormat="1" x14ac:dyDescent="0.25">
      <c r="C110" s="1" t="s">
        <v>766</v>
      </c>
      <c r="D110" s="1" t="s">
        <v>748</v>
      </c>
      <c r="E110" s="1" t="s">
        <v>767</v>
      </c>
      <c r="F110" s="13" t="s">
        <v>6952</v>
      </c>
      <c r="G110" s="1" t="s">
        <v>768</v>
      </c>
      <c r="H110" s="1" t="s">
        <v>61</v>
      </c>
      <c r="I110" s="1">
        <v>224</v>
      </c>
      <c r="J110" s="1" t="s">
        <v>46</v>
      </c>
      <c r="M110" s="1" t="s">
        <v>756</v>
      </c>
      <c r="N110" s="1" t="s">
        <v>48</v>
      </c>
      <c r="O110" s="9">
        <v>18</v>
      </c>
      <c r="P110" s="1">
        <f>ROUNDUP(1070*(1-$F$3),2)</f>
        <v>1070</v>
      </c>
      <c r="Q110" s="1" t="s">
        <v>49</v>
      </c>
      <c r="R110" s="1" t="s">
        <v>769</v>
      </c>
      <c r="S110" s="1" t="s">
        <v>770</v>
      </c>
      <c r="T110" s="9">
        <v>10</v>
      </c>
      <c r="U110" s="1">
        <f>ROUNDUP(972.73*(1-$F$3),2)</f>
        <v>972.73</v>
      </c>
      <c r="V110" s="1">
        <v>338</v>
      </c>
      <c r="Y110" s="1" t="s">
        <v>771</v>
      </c>
      <c r="Z110" s="1" t="s">
        <v>76</v>
      </c>
      <c r="AA110" s="12">
        <v>44343</v>
      </c>
      <c r="AB110" s="1" t="s">
        <v>66</v>
      </c>
      <c r="AC110" s="1" t="s">
        <v>143</v>
      </c>
      <c r="AD110" s="1" t="s">
        <v>144</v>
      </c>
      <c r="AE110" s="1" t="s">
        <v>69</v>
      </c>
      <c r="AG110" s="1">
        <v>9697770</v>
      </c>
    </row>
    <row r="111" spans="1:33" s="1" customFormat="1" x14ac:dyDescent="0.25">
      <c r="C111" s="1" t="s">
        <v>772</v>
      </c>
      <c r="D111" s="1" t="s">
        <v>748</v>
      </c>
      <c r="E111" s="1" t="s">
        <v>773</v>
      </c>
      <c r="F111" s="13" t="s">
        <v>6952</v>
      </c>
      <c r="G111" s="1" t="s">
        <v>774</v>
      </c>
      <c r="H111" s="1" t="s">
        <v>61</v>
      </c>
      <c r="I111" s="1">
        <v>304</v>
      </c>
      <c r="J111" s="1" t="s">
        <v>46</v>
      </c>
      <c r="M111" s="1" t="s">
        <v>756</v>
      </c>
      <c r="N111" s="1" t="s">
        <v>48</v>
      </c>
      <c r="O111" s="9">
        <v>14</v>
      </c>
      <c r="P111" s="1">
        <f>ROUNDUP(1020*(1-$F$3),2)</f>
        <v>1020</v>
      </c>
      <c r="Q111" s="1" t="s">
        <v>49</v>
      </c>
      <c r="R111" s="1" t="s">
        <v>775</v>
      </c>
      <c r="S111" s="1" t="s">
        <v>776</v>
      </c>
      <c r="T111" s="9">
        <v>10</v>
      </c>
      <c r="U111" s="1">
        <f>ROUNDUP(927.27*(1-$F$3),2)</f>
        <v>927.27</v>
      </c>
      <c r="V111" s="1">
        <v>412</v>
      </c>
      <c r="Y111" s="1" t="s">
        <v>777</v>
      </c>
      <c r="Z111" s="1" t="s">
        <v>53</v>
      </c>
      <c r="AA111" s="12">
        <v>44194</v>
      </c>
      <c r="AB111" s="1" t="s">
        <v>66</v>
      </c>
      <c r="AC111" s="1" t="s">
        <v>120</v>
      </c>
      <c r="AD111" s="1" t="s">
        <v>121</v>
      </c>
      <c r="AE111" s="1" t="s">
        <v>69</v>
      </c>
      <c r="AG111" s="1">
        <v>9588170</v>
      </c>
    </row>
    <row r="112" spans="1:33" s="1" customFormat="1" x14ac:dyDescent="0.25">
      <c r="C112" s="1" t="s">
        <v>778</v>
      </c>
      <c r="D112" s="1" t="s">
        <v>748</v>
      </c>
      <c r="E112" s="1" t="s">
        <v>779</v>
      </c>
      <c r="F112" s="13" t="s">
        <v>6952</v>
      </c>
      <c r="G112" s="1" t="s">
        <v>768</v>
      </c>
      <c r="H112" s="1" t="s">
        <v>61</v>
      </c>
      <c r="I112" s="1">
        <v>310</v>
      </c>
      <c r="J112" s="1" t="s">
        <v>46</v>
      </c>
      <c r="M112" s="1" t="s">
        <v>756</v>
      </c>
      <c r="N112" s="1" t="s">
        <v>48</v>
      </c>
      <c r="O112" s="9">
        <v>10</v>
      </c>
      <c r="P112" s="1">
        <f>ROUNDUP(1150*(1-$F$3),2)</f>
        <v>1150</v>
      </c>
      <c r="Q112" s="1" t="s">
        <v>49</v>
      </c>
      <c r="R112" s="1" t="s">
        <v>780</v>
      </c>
      <c r="S112" s="1" t="s">
        <v>781</v>
      </c>
      <c r="T112" s="9">
        <v>10</v>
      </c>
      <c r="U112" s="1">
        <f>ROUNDUP(1045.45*(1-$F$3),2)</f>
        <v>1045.45</v>
      </c>
      <c r="V112" s="1">
        <v>428</v>
      </c>
      <c r="Y112" s="1" t="s">
        <v>782</v>
      </c>
      <c r="Z112" s="1" t="s">
        <v>76</v>
      </c>
      <c r="AA112" s="12">
        <v>44341</v>
      </c>
      <c r="AB112" s="1" t="s">
        <v>66</v>
      </c>
      <c r="AC112" s="1" t="s">
        <v>143</v>
      </c>
      <c r="AD112" s="1" t="s">
        <v>144</v>
      </c>
      <c r="AE112" s="1" t="s">
        <v>69</v>
      </c>
      <c r="AG112" s="1">
        <v>9704030</v>
      </c>
    </row>
    <row r="113" spans="3:33" s="1" customFormat="1" x14ac:dyDescent="0.25">
      <c r="C113" s="1" t="s">
        <v>783</v>
      </c>
      <c r="D113" s="1" t="s">
        <v>748</v>
      </c>
      <c r="E113" s="1" t="s">
        <v>784</v>
      </c>
      <c r="F113" s="13" t="s">
        <v>6952</v>
      </c>
      <c r="G113" s="1" t="s">
        <v>785</v>
      </c>
      <c r="H113" s="1" t="s">
        <v>61</v>
      </c>
      <c r="I113" s="1">
        <v>512</v>
      </c>
      <c r="J113" s="1" t="s">
        <v>46</v>
      </c>
      <c r="M113" s="1" t="s">
        <v>756</v>
      </c>
      <c r="N113" s="1" t="s">
        <v>48</v>
      </c>
      <c r="O113" s="9">
        <v>8</v>
      </c>
      <c r="P113" s="1">
        <f>ROUNDUP(1390*(1-$F$3),2)</f>
        <v>1390</v>
      </c>
      <c r="Q113" s="1" t="s">
        <v>49</v>
      </c>
      <c r="R113" s="1" t="s">
        <v>786</v>
      </c>
      <c r="S113" s="1" t="s">
        <v>787</v>
      </c>
      <c r="T113" s="9">
        <v>10</v>
      </c>
      <c r="U113" s="1">
        <f>ROUNDUP(1263.64*(1-$F$3),2)</f>
        <v>1263.6400000000001</v>
      </c>
      <c r="V113" s="1">
        <v>638</v>
      </c>
      <c r="Y113" s="1" t="s">
        <v>788</v>
      </c>
      <c r="Z113" s="1" t="s">
        <v>76</v>
      </c>
      <c r="AA113" s="12">
        <v>44245</v>
      </c>
      <c r="AB113" s="1" t="s">
        <v>66</v>
      </c>
      <c r="AC113" s="1" t="s">
        <v>120</v>
      </c>
      <c r="AD113" s="1" t="s">
        <v>121</v>
      </c>
      <c r="AE113" s="1" t="s">
        <v>69</v>
      </c>
      <c r="AG113" s="1">
        <v>9628990</v>
      </c>
    </row>
    <row r="114" spans="3:33" s="1" customFormat="1" x14ac:dyDescent="0.25">
      <c r="C114" s="1" t="s">
        <v>789</v>
      </c>
      <c r="D114" s="1" t="s">
        <v>790</v>
      </c>
      <c r="E114" s="1" t="s">
        <v>791</v>
      </c>
      <c r="F114" s="13" t="s">
        <v>6952</v>
      </c>
      <c r="G114" s="1" t="s">
        <v>792</v>
      </c>
      <c r="H114" s="1" t="s">
        <v>61</v>
      </c>
      <c r="I114" s="1">
        <v>1056</v>
      </c>
      <c r="J114" s="1" t="s">
        <v>46</v>
      </c>
      <c r="M114" s="1" t="s">
        <v>161</v>
      </c>
      <c r="N114" s="1" t="s">
        <v>48</v>
      </c>
      <c r="O114" s="9"/>
      <c r="P114" s="1">
        <f>ROUNDUP(1290*(1-$F$3),2)</f>
        <v>1290</v>
      </c>
      <c r="Q114" s="1" t="s">
        <v>49</v>
      </c>
      <c r="R114" s="1" t="s">
        <v>793</v>
      </c>
      <c r="S114" s="1" t="s">
        <v>794</v>
      </c>
      <c r="T114" s="9">
        <v>10</v>
      </c>
      <c r="U114" s="1">
        <f>ROUNDUP(1172.73*(1-$F$3),2)</f>
        <v>1172.73</v>
      </c>
      <c r="V114" s="1">
        <v>1271</v>
      </c>
      <c r="Y114" s="1" t="s">
        <v>795</v>
      </c>
      <c r="Z114" s="1" t="s">
        <v>53</v>
      </c>
      <c r="AA114" s="12">
        <v>45145</v>
      </c>
      <c r="AB114" s="1" t="s">
        <v>66</v>
      </c>
      <c r="AC114" s="1" t="s">
        <v>143</v>
      </c>
      <c r="AD114" s="1" t="s">
        <v>194</v>
      </c>
      <c r="AE114" s="1" t="s">
        <v>69</v>
      </c>
      <c r="AG114" s="1">
        <v>11030910</v>
      </c>
    </row>
    <row r="115" spans="3:33" s="1" customFormat="1" x14ac:dyDescent="0.25">
      <c r="C115" s="1" t="s">
        <v>796</v>
      </c>
      <c r="D115" s="1" t="s">
        <v>790</v>
      </c>
      <c r="E115" s="1" t="s">
        <v>797</v>
      </c>
      <c r="F115" s="13" t="s">
        <v>6952</v>
      </c>
      <c r="G115" s="1" t="s">
        <v>798</v>
      </c>
      <c r="H115" s="1" t="s">
        <v>160</v>
      </c>
      <c r="I115" s="1">
        <v>1136</v>
      </c>
      <c r="J115" s="1" t="s">
        <v>46</v>
      </c>
      <c r="M115" s="1" t="s">
        <v>161</v>
      </c>
      <c r="N115" s="1" t="s">
        <v>48</v>
      </c>
      <c r="O115" s="9"/>
      <c r="P115" s="1">
        <f>ROUNDUP(3190*(1-$F$3),2)</f>
        <v>3190</v>
      </c>
      <c r="Q115" s="1" t="s">
        <v>49</v>
      </c>
      <c r="R115" s="1" t="s">
        <v>799</v>
      </c>
      <c r="S115" s="1" t="s">
        <v>800</v>
      </c>
      <c r="T115" s="9">
        <v>10</v>
      </c>
      <c r="U115" s="1">
        <f>ROUNDUP(2900*(1-$F$3),2)</f>
        <v>2900</v>
      </c>
      <c r="V115" s="1">
        <v>1308</v>
      </c>
      <c r="Y115" s="1" t="s">
        <v>801</v>
      </c>
      <c r="Z115" s="1" t="s">
        <v>76</v>
      </c>
      <c r="AA115" s="12">
        <v>45142</v>
      </c>
      <c r="AB115" s="1" t="s">
        <v>66</v>
      </c>
      <c r="AC115" s="1" t="s">
        <v>67</v>
      </c>
      <c r="AD115" s="1" t="s">
        <v>165</v>
      </c>
      <c r="AE115" s="1" t="s">
        <v>69</v>
      </c>
      <c r="AG115" s="1">
        <v>11030760</v>
      </c>
    </row>
    <row r="116" spans="3:33" s="1" customFormat="1" x14ac:dyDescent="0.25">
      <c r="C116" s="1" t="s">
        <v>802</v>
      </c>
      <c r="D116" s="1" t="s">
        <v>790</v>
      </c>
      <c r="E116" s="1" t="s">
        <v>803</v>
      </c>
      <c r="F116" s="13" t="s">
        <v>6952</v>
      </c>
      <c r="G116" s="1" t="s">
        <v>804</v>
      </c>
      <c r="H116" s="1" t="s">
        <v>61</v>
      </c>
      <c r="I116" s="1">
        <v>1120</v>
      </c>
      <c r="J116" s="1" t="s">
        <v>46</v>
      </c>
      <c r="M116" s="1" t="s">
        <v>161</v>
      </c>
      <c r="N116" s="1" t="s">
        <v>139</v>
      </c>
      <c r="O116" s="9"/>
      <c r="P116" s="1">
        <f>ROUNDUP(1290*(1-$F$3),2)</f>
        <v>1290</v>
      </c>
      <c r="Q116" s="1" t="s">
        <v>49</v>
      </c>
      <c r="R116" s="1" t="s">
        <v>805</v>
      </c>
      <c r="S116" s="1" t="s">
        <v>806</v>
      </c>
      <c r="T116" s="9">
        <v>10</v>
      </c>
      <c r="U116" s="1">
        <f>ROUNDUP(1172.73*(1-$F$3),2)</f>
        <v>1172.73</v>
      </c>
      <c r="V116" s="1">
        <v>1008.9999999999999</v>
      </c>
      <c r="Y116" s="1" t="s">
        <v>807</v>
      </c>
      <c r="Z116" s="1" t="s">
        <v>76</v>
      </c>
      <c r="AA116" s="12">
        <v>45145</v>
      </c>
      <c r="AB116" s="1" t="s">
        <v>66</v>
      </c>
      <c r="AC116" s="1" t="s">
        <v>143</v>
      </c>
      <c r="AD116" s="1" t="s">
        <v>194</v>
      </c>
      <c r="AE116" s="1" t="s">
        <v>69</v>
      </c>
      <c r="AG116" s="1">
        <v>11030890</v>
      </c>
    </row>
    <row r="117" spans="3:33" s="1" customFormat="1" x14ac:dyDescent="0.25">
      <c r="C117" s="1" t="s">
        <v>808</v>
      </c>
      <c r="D117" s="1" t="s">
        <v>790</v>
      </c>
      <c r="E117" s="1" t="s">
        <v>809</v>
      </c>
      <c r="F117" s="13" t="s">
        <v>6952</v>
      </c>
      <c r="G117" s="1" t="s">
        <v>810</v>
      </c>
      <c r="H117" s="1" t="s">
        <v>160</v>
      </c>
      <c r="I117" s="1">
        <v>1120</v>
      </c>
      <c r="J117" s="1" t="s">
        <v>46</v>
      </c>
      <c r="M117" s="1" t="s">
        <v>161</v>
      </c>
      <c r="N117" s="1" t="s">
        <v>48</v>
      </c>
      <c r="O117" s="9"/>
      <c r="P117" s="1">
        <f>ROUNDUP(1210*(1-$F$3),2)</f>
        <v>1210</v>
      </c>
      <c r="Q117" s="1" t="s">
        <v>49</v>
      </c>
      <c r="R117" s="1" t="s">
        <v>811</v>
      </c>
      <c r="S117" s="1" t="s">
        <v>812</v>
      </c>
      <c r="T117" s="9">
        <v>10</v>
      </c>
      <c r="U117" s="1">
        <f>ROUNDUP(1100*(1-$F$3),2)</f>
        <v>1100</v>
      </c>
      <c r="V117" s="1">
        <v>1177</v>
      </c>
      <c r="Y117" s="1" t="s">
        <v>813</v>
      </c>
      <c r="Z117" s="1" t="s">
        <v>76</v>
      </c>
      <c r="AA117" s="12">
        <v>45145</v>
      </c>
      <c r="AB117" s="1" t="s">
        <v>66</v>
      </c>
      <c r="AC117" s="1" t="s">
        <v>143</v>
      </c>
      <c r="AD117" s="1" t="s">
        <v>194</v>
      </c>
      <c r="AE117" s="1" t="s">
        <v>69</v>
      </c>
      <c r="AG117" s="1">
        <v>11030850</v>
      </c>
    </row>
    <row r="118" spans="3:33" s="1" customFormat="1" x14ac:dyDescent="0.25">
      <c r="C118" s="1" t="s">
        <v>814</v>
      </c>
      <c r="D118" s="1" t="s">
        <v>790</v>
      </c>
      <c r="E118" s="1" t="s">
        <v>815</v>
      </c>
      <c r="F118" s="13" t="s">
        <v>6952</v>
      </c>
      <c r="G118" s="1" t="s">
        <v>750</v>
      </c>
      <c r="H118" s="1" t="s">
        <v>61</v>
      </c>
      <c r="I118" s="1">
        <v>1664</v>
      </c>
      <c r="J118" s="1" t="s">
        <v>46</v>
      </c>
      <c r="M118" s="1" t="s">
        <v>161</v>
      </c>
      <c r="N118" s="1" t="s">
        <v>139</v>
      </c>
      <c r="O118" s="9"/>
      <c r="P118" s="1">
        <f>ROUNDUP(2590*(1-$F$3),2)</f>
        <v>2590</v>
      </c>
      <c r="Q118" s="1" t="s">
        <v>49</v>
      </c>
      <c r="R118" s="1" t="s">
        <v>816</v>
      </c>
      <c r="S118" s="1" t="s">
        <v>817</v>
      </c>
      <c r="T118" s="9">
        <v>22</v>
      </c>
      <c r="U118" s="1">
        <f>ROUNDUP(2122.95*(1-$F$3),2)</f>
        <v>2122.9499999999998</v>
      </c>
      <c r="V118" s="1">
        <v>1438</v>
      </c>
      <c r="Y118" s="1" t="s">
        <v>818</v>
      </c>
      <c r="Z118" s="1" t="s">
        <v>76</v>
      </c>
      <c r="AA118" s="12">
        <v>45142</v>
      </c>
      <c r="AB118" s="1" t="s">
        <v>66</v>
      </c>
      <c r="AC118" s="1" t="s">
        <v>120</v>
      </c>
      <c r="AD118" s="1" t="s">
        <v>121</v>
      </c>
      <c r="AE118" s="1" t="s">
        <v>69</v>
      </c>
      <c r="AG118" s="1">
        <v>11030750</v>
      </c>
    </row>
    <row r="119" spans="3:33" s="1" customFormat="1" x14ac:dyDescent="0.25">
      <c r="C119" s="1" t="s">
        <v>819</v>
      </c>
      <c r="D119" s="1" t="s">
        <v>790</v>
      </c>
      <c r="E119" s="1" t="s">
        <v>820</v>
      </c>
      <c r="F119" s="13" t="s">
        <v>6952</v>
      </c>
      <c r="G119" s="1" t="s">
        <v>821</v>
      </c>
      <c r="H119" s="1" t="s">
        <v>160</v>
      </c>
      <c r="I119" s="1">
        <v>754</v>
      </c>
      <c r="J119" s="1" t="s">
        <v>46</v>
      </c>
      <c r="M119" s="1" t="s">
        <v>161</v>
      </c>
      <c r="N119" s="1" t="s">
        <v>48</v>
      </c>
      <c r="O119" s="9"/>
      <c r="P119" s="1">
        <f>ROUNDUP(1290*(1-$F$3),2)</f>
        <v>1290</v>
      </c>
      <c r="Q119" s="1" t="s">
        <v>49</v>
      </c>
      <c r="R119" s="1" t="s">
        <v>822</v>
      </c>
      <c r="S119" s="1" t="s">
        <v>823</v>
      </c>
      <c r="T119" s="9">
        <v>10</v>
      </c>
      <c r="U119" s="1">
        <f>ROUNDUP(1172.73*(1-$F$3),2)</f>
        <v>1172.73</v>
      </c>
      <c r="V119" s="1">
        <v>856</v>
      </c>
      <c r="Y119" s="1" t="s">
        <v>824</v>
      </c>
      <c r="Z119" s="1" t="s">
        <v>128</v>
      </c>
      <c r="AA119" s="12">
        <v>45142</v>
      </c>
      <c r="AB119" s="1" t="s">
        <v>66</v>
      </c>
      <c r="AC119" s="1" t="s">
        <v>120</v>
      </c>
      <c r="AD119" s="1" t="s">
        <v>121</v>
      </c>
      <c r="AE119" s="1" t="s">
        <v>69</v>
      </c>
      <c r="AG119" s="1">
        <v>11030800</v>
      </c>
    </row>
    <row r="120" spans="3:33" s="1" customFormat="1" x14ac:dyDescent="0.25">
      <c r="C120" s="1" t="s">
        <v>825</v>
      </c>
      <c r="D120" s="1" t="s">
        <v>790</v>
      </c>
      <c r="E120" s="1" t="s">
        <v>826</v>
      </c>
      <c r="F120" s="13" t="s">
        <v>6952</v>
      </c>
      <c r="G120" s="1" t="s">
        <v>827</v>
      </c>
      <c r="H120" s="1" t="s">
        <v>160</v>
      </c>
      <c r="I120" s="1">
        <v>1168</v>
      </c>
      <c r="J120" s="1" t="s">
        <v>46</v>
      </c>
      <c r="M120" s="1" t="s">
        <v>161</v>
      </c>
      <c r="N120" s="1" t="s">
        <v>48</v>
      </c>
      <c r="O120" s="9"/>
      <c r="P120" s="1">
        <f>ROUNDUP(1208.8*(1-$F$3),2)</f>
        <v>1208.8</v>
      </c>
      <c r="Q120" s="1" t="s">
        <v>49</v>
      </c>
      <c r="R120" s="1" t="s">
        <v>828</v>
      </c>
      <c r="S120" s="1" t="s">
        <v>829</v>
      </c>
      <c r="T120" s="9">
        <v>22</v>
      </c>
      <c r="U120" s="1">
        <f>ROUNDUP(990.82*(1-$F$3),2)</f>
        <v>990.82</v>
      </c>
      <c r="V120" s="1">
        <v>1361</v>
      </c>
      <c r="Y120" s="1" t="s">
        <v>830</v>
      </c>
      <c r="Z120" s="1" t="s">
        <v>76</v>
      </c>
      <c r="AA120" s="12">
        <v>45145</v>
      </c>
      <c r="AB120" s="1" t="s">
        <v>66</v>
      </c>
      <c r="AC120" s="1" t="s">
        <v>143</v>
      </c>
      <c r="AD120" s="1" t="s">
        <v>194</v>
      </c>
      <c r="AE120" s="1" t="s">
        <v>69</v>
      </c>
      <c r="AG120" s="1">
        <v>11030880</v>
      </c>
    </row>
    <row r="121" spans="3:33" s="1" customFormat="1" x14ac:dyDescent="0.25">
      <c r="C121" s="1" t="s">
        <v>831</v>
      </c>
      <c r="D121" s="1" t="s">
        <v>832</v>
      </c>
      <c r="E121" s="1" t="s">
        <v>833</v>
      </c>
      <c r="F121" s="13" t="s">
        <v>6952</v>
      </c>
      <c r="G121" s="1" t="s">
        <v>834</v>
      </c>
      <c r="H121" s="1" t="s">
        <v>61</v>
      </c>
      <c r="I121" s="1">
        <v>192</v>
      </c>
      <c r="J121" s="1" t="s">
        <v>46</v>
      </c>
      <c r="M121" s="1" t="s">
        <v>835</v>
      </c>
      <c r="N121" s="1" t="s">
        <v>48</v>
      </c>
      <c r="O121" s="9">
        <v>8</v>
      </c>
      <c r="P121" s="1">
        <f>ROUNDUP(1920*(1-$F$3),2)</f>
        <v>1920</v>
      </c>
      <c r="Q121" s="1" t="s">
        <v>49</v>
      </c>
      <c r="R121" s="1" t="s">
        <v>836</v>
      </c>
      <c r="S121" s="1" t="s">
        <v>837</v>
      </c>
      <c r="T121" s="9">
        <v>10</v>
      </c>
      <c r="U121" s="1">
        <f>ROUNDUP(1745.45*(1-$F$3),2)</f>
        <v>1745.45</v>
      </c>
      <c r="V121" s="1">
        <v>509</v>
      </c>
      <c r="Y121" s="1" t="s">
        <v>838</v>
      </c>
      <c r="Z121" s="1" t="s">
        <v>53</v>
      </c>
      <c r="AA121" s="12">
        <v>44034</v>
      </c>
      <c r="AB121" s="1" t="s">
        <v>95</v>
      </c>
      <c r="AC121" s="1" t="s">
        <v>112</v>
      </c>
      <c r="AD121" s="1" t="s">
        <v>839</v>
      </c>
      <c r="AE121" s="1" t="s">
        <v>69</v>
      </c>
      <c r="AG121" s="1">
        <v>9422720</v>
      </c>
    </row>
    <row r="122" spans="3:33" s="1" customFormat="1" x14ac:dyDescent="0.25">
      <c r="C122" s="1" t="s">
        <v>840</v>
      </c>
      <c r="D122" s="1" t="s">
        <v>841</v>
      </c>
      <c r="E122" s="1" t="s">
        <v>842</v>
      </c>
      <c r="F122" s="13" t="s">
        <v>6952</v>
      </c>
      <c r="G122" s="1" t="s">
        <v>843</v>
      </c>
      <c r="H122" s="1" t="s">
        <v>190</v>
      </c>
      <c r="I122" s="1">
        <v>464</v>
      </c>
      <c r="J122" s="1" t="s">
        <v>46</v>
      </c>
      <c r="M122" s="1" t="s">
        <v>47</v>
      </c>
      <c r="N122" s="1" t="s">
        <v>139</v>
      </c>
      <c r="O122" s="9">
        <v>16</v>
      </c>
      <c r="P122" s="1">
        <f>ROUNDUP(630*(1-$F$3),2)</f>
        <v>630</v>
      </c>
      <c r="Q122" s="1" t="s">
        <v>49</v>
      </c>
      <c r="R122" s="1" t="s">
        <v>844</v>
      </c>
      <c r="S122" s="1" t="s">
        <v>845</v>
      </c>
      <c r="T122" s="9">
        <v>10</v>
      </c>
      <c r="U122" s="1">
        <f>ROUNDUP(572.73*(1-$F$3),2)</f>
        <v>572.73</v>
      </c>
      <c r="V122" s="1">
        <v>233</v>
      </c>
      <c r="Y122" s="1" t="s">
        <v>846</v>
      </c>
      <c r="Z122" s="1" t="s">
        <v>76</v>
      </c>
      <c r="AA122" s="12">
        <v>44769</v>
      </c>
      <c r="AB122" s="1" t="s">
        <v>66</v>
      </c>
      <c r="AC122" s="1" t="s">
        <v>143</v>
      </c>
      <c r="AD122" s="1" t="s">
        <v>847</v>
      </c>
      <c r="AE122" s="1" t="s">
        <v>69</v>
      </c>
      <c r="AG122" s="1">
        <v>10482760</v>
      </c>
    </row>
    <row r="123" spans="3:33" s="1" customFormat="1" x14ac:dyDescent="0.25">
      <c r="C123" s="1" t="s">
        <v>848</v>
      </c>
      <c r="D123" s="1" t="s">
        <v>841</v>
      </c>
      <c r="E123" s="1" t="s">
        <v>849</v>
      </c>
      <c r="F123" s="13" t="s">
        <v>6952</v>
      </c>
      <c r="G123" s="1" t="s">
        <v>850</v>
      </c>
      <c r="H123" s="1" t="s">
        <v>190</v>
      </c>
      <c r="I123" s="1">
        <v>896</v>
      </c>
      <c r="J123" s="1" t="s">
        <v>46</v>
      </c>
      <c r="M123" s="1" t="s">
        <v>47</v>
      </c>
      <c r="N123" s="1" t="s">
        <v>48</v>
      </c>
      <c r="O123" s="9"/>
      <c r="P123" s="1">
        <f>ROUNDUP(2050*(1-$F$3),2)</f>
        <v>2050</v>
      </c>
      <c r="Q123" s="1" t="s">
        <v>49</v>
      </c>
      <c r="R123" s="1" t="s">
        <v>851</v>
      </c>
      <c r="S123" s="1" t="s">
        <v>852</v>
      </c>
      <c r="T123" s="9">
        <v>10</v>
      </c>
      <c r="U123" s="1">
        <f>ROUNDUP(1863.64*(1-$F$3),2)</f>
        <v>1863.64</v>
      </c>
      <c r="V123" s="1">
        <v>1063</v>
      </c>
      <c r="Y123" s="1" t="s">
        <v>853</v>
      </c>
      <c r="Z123" s="1" t="s">
        <v>76</v>
      </c>
      <c r="AA123" s="12">
        <v>45721</v>
      </c>
      <c r="AB123" s="1" t="s">
        <v>66</v>
      </c>
      <c r="AC123" s="1" t="s">
        <v>143</v>
      </c>
      <c r="AD123" s="1" t="s">
        <v>847</v>
      </c>
      <c r="AE123" s="1" t="s">
        <v>69</v>
      </c>
      <c r="AG123" s="1">
        <v>11680490</v>
      </c>
    </row>
    <row r="124" spans="3:33" s="1" customFormat="1" x14ac:dyDescent="0.25">
      <c r="C124" s="1" t="s">
        <v>854</v>
      </c>
      <c r="D124" s="1" t="s">
        <v>841</v>
      </c>
      <c r="E124" s="1" t="s">
        <v>855</v>
      </c>
      <c r="F124" s="13" t="s">
        <v>6952</v>
      </c>
      <c r="G124" s="1" t="s">
        <v>843</v>
      </c>
      <c r="H124" s="1" t="s">
        <v>190</v>
      </c>
      <c r="I124" s="1">
        <v>288</v>
      </c>
      <c r="J124" s="1" t="s">
        <v>46</v>
      </c>
      <c r="M124" s="1" t="s">
        <v>169</v>
      </c>
      <c r="N124" s="1" t="s">
        <v>139</v>
      </c>
      <c r="O124" s="9">
        <v>11</v>
      </c>
      <c r="P124" s="1">
        <f>ROUNDUP(550*(1-$F$3),2)</f>
        <v>550</v>
      </c>
      <c r="Q124" s="1" t="s">
        <v>49</v>
      </c>
      <c r="R124" s="1" t="s">
        <v>856</v>
      </c>
      <c r="S124" s="1" t="s">
        <v>857</v>
      </c>
      <c r="T124" s="9">
        <v>10</v>
      </c>
      <c r="U124" s="1">
        <f>ROUNDUP(500*(1-$F$3),2)</f>
        <v>500</v>
      </c>
      <c r="V124" s="1">
        <v>147</v>
      </c>
      <c r="Y124" s="1" t="s">
        <v>858</v>
      </c>
      <c r="Z124" s="1" t="s">
        <v>53</v>
      </c>
      <c r="AA124" s="12">
        <v>44769</v>
      </c>
      <c r="AB124" s="1" t="s">
        <v>66</v>
      </c>
      <c r="AC124" s="1" t="s">
        <v>143</v>
      </c>
      <c r="AD124" s="1" t="s">
        <v>847</v>
      </c>
      <c r="AE124" s="1" t="s">
        <v>69</v>
      </c>
      <c r="AG124" s="1">
        <v>10483360</v>
      </c>
    </row>
    <row r="125" spans="3:33" s="1" customFormat="1" x14ac:dyDescent="0.25">
      <c r="C125" s="1" t="s">
        <v>859</v>
      </c>
      <c r="D125" s="1" t="s">
        <v>860</v>
      </c>
      <c r="E125" s="1" t="s">
        <v>861</v>
      </c>
      <c r="F125" s="13" t="s">
        <v>6952</v>
      </c>
      <c r="G125" s="1" t="s">
        <v>862</v>
      </c>
      <c r="H125" s="1" t="s">
        <v>61</v>
      </c>
      <c r="I125" s="1">
        <v>304</v>
      </c>
      <c r="J125" s="1" t="s">
        <v>46</v>
      </c>
      <c r="M125" s="1" t="s">
        <v>47</v>
      </c>
      <c r="N125" s="1" t="s">
        <v>48</v>
      </c>
      <c r="O125" s="9">
        <v>12</v>
      </c>
      <c r="P125" s="1">
        <f>ROUNDUP(1100*(1-$F$3),2)</f>
        <v>1100</v>
      </c>
      <c r="Q125" s="1" t="s">
        <v>49</v>
      </c>
      <c r="R125" s="1" t="s">
        <v>863</v>
      </c>
      <c r="S125" s="1" t="s">
        <v>864</v>
      </c>
      <c r="T125" s="9">
        <v>10</v>
      </c>
      <c r="U125" s="1">
        <f>ROUNDUP(1000*(1-$F$3),2)</f>
        <v>1000</v>
      </c>
      <c r="V125" s="1">
        <v>363</v>
      </c>
      <c r="Y125" s="1" t="s">
        <v>865</v>
      </c>
      <c r="Z125" s="1" t="s">
        <v>53</v>
      </c>
      <c r="AA125" s="12">
        <v>45475</v>
      </c>
      <c r="AB125" s="1" t="s">
        <v>66</v>
      </c>
      <c r="AC125" s="1" t="s">
        <v>120</v>
      </c>
      <c r="AD125" s="1" t="s">
        <v>343</v>
      </c>
      <c r="AE125" s="1" t="s">
        <v>69</v>
      </c>
      <c r="AG125" s="1">
        <v>11388370</v>
      </c>
    </row>
    <row r="126" spans="3:33" s="1" customFormat="1" x14ac:dyDescent="0.25">
      <c r="C126" s="1" t="s">
        <v>866</v>
      </c>
      <c r="D126" s="1" t="s">
        <v>860</v>
      </c>
      <c r="E126" s="1" t="s">
        <v>867</v>
      </c>
      <c r="F126" s="13" t="s">
        <v>6952</v>
      </c>
      <c r="G126" s="1" t="s">
        <v>868</v>
      </c>
      <c r="H126" s="1" t="s">
        <v>61</v>
      </c>
      <c r="I126" s="1">
        <v>352</v>
      </c>
      <c r="J126" s="1" t="s">
        <v>46</v>
      </c>
      <c r="M126" s="1" t="s">
        <v>169</v>
      </c>
      <c r="N126" s="1" t="s">
        <v>139</v>
      </c>
      <c r="O126" s="9">
        <v>7</v>
      </c>
      <c r="P126" s="1">
        <f>ROUNDUP(830*(1-$F$3),2)</f>
        <v>830</v>
      </c>
      <c r="Q126" s="1" t="s">
        <v>49</v>
      </c>
      <c r="R126" s="1" t="s">
        <v>869</v>
      </c>
      <c r="S126" s="1" t="s">
        <v>870</v>
      </c>
      <c r="T126" s="9">
        <v>10</v>
      </c>
      <c r="U126" s="1">
        <f>ROUNDUP(754.55*(1-$F$3),2)</f>
        <v>754.55</v>
      </c>
      <c r="V126" s="1">
        <v>324</v>
      </c>
      <c r="Y126" s="1" t="s">
        <v>871</v>
      </c>
      <c r="Z126" s="1" t="s">
        <v>53</v>
      </c>
      <c r="AA126" s="12">
        <v>44785</v>
      </c>
      <c r="AB126" s="1" t="s">
        <v>66</v>
      </c>
      <c r="AC126" s="1" t="s">
        <v>120</v>
      </c>
      <c r="AD126" s="1" t="s">
        <v>343</v>
      </c>
      <c r="AE126" s="1" t="s">
        <v>69</v>
      </c>
      <c r="AG126" s="1">
        <v>10484680</v>
      </c>
    </row>
    <row r="127" spans="3:33" s="1" customFormat="1" x14ac:dyDescent="0.25">
      <c r="C127" s="1" t="s">
        <v>872</v>
      </c>
      <c r="D127" s="1" t="s">
        <v>860</v>
      </c>
      <c r="E127" s="1" t="s">
        <v>873</v>
      </c>
      <c r="F127" s="13" t="s">
        <v>6952</v>
      </c>
      <c r="G127" s="1" t="s">
        <v>874</v>
      </c>
      <c r="H127" s="1" t="s">
        <v>61</v>
      </c>
      <c r="I127" s="1">
        <v>368</v>
      </c>
      <c r="J127" s="1" t="s">
        <v>46</v>
      </c>
      <c r="M127" s="1" t="s">
        <v>169</v>
      </c>
      <c r="N127" s="1" t="s">
        <v>139</v>
      </c>
      <c r="O127" s="9">
        <v>5</v>
      </c>
      <c r="P127" s="1">
        <f>ROUNDUP(830*(1-$F$3),2)</f>
        <v>830</v>
      </c>
      <c r="Q127" s="1" t="s">
        <v>49</v>
      </c>
      <c r="R127" s="1" t="s">
        <v>875</v>
      </c>
      <c r="S127" s="1" t="s">
        <v>876</v>
      </c>
      <c r="T127" s="9">
        <v>10</v>
      </c>
      <c r="U127" s="1">
        <f>ROUNDUP(754.55*(1-$F$3),2)</f>
        <v>754.55</v>
      </c>
      <c r="V127" s="1">
        <v>317</v>
      </c>
      <c r="Y127" s="1" t="s">
        <v>877</v>
      </c>
      <c r="Z127" s="1" t="s">
        <v>76</v>
      </c>
      <c r="AA127" s="12">
        <v>44788</v>
      </c>
      <c r="AB127" s="1" t="s">
        <v>66</v>
      </c>
      <c r="AC127" s="1" t="s">
        <v>120</v>
      </c>
      <c r="AD127" s="1" t="s">
        <v>121</v>
      </c>
      <c r="AE127" s="1" t="s">
        <v>878</v>
      </c>
      <c r="AG127" s="1">
        <v>10485020</v>
      </c>
    </row>
    <row r="128" spans="3:33" s="1" customFormat="1" x14ac:dyDescent="0.25">
      <c r="C128" s="1" t="s">
        <v>879</v>
      </c>
      <c r="D128" s="1" t="s">
        <v>860</v>
      </c>
      <c r="E128" s="1" t="s">
        <v>880</v>
      </c>
      <c r="F128" s="13" t="s">
        <v>6952</v>
      </c>
      <c r="G128" s="1" t="s">
        <v>881</v>
      </c>
      <c r="H128" s="1" t="s">
        <v>61</v>
      </c>
      <c r="I128" s="1">
        <v>448</v>
      </c>
      <c r="J128" s="1" t="s">
        <v>46</v>
      </c>
      <c r="M128" s="1" t="s">
        <v>161</v>
      </c>
      <c r="N128" s="1" t="s">
        <v>48</v>
      </c>
      <c r="O128" s="9">
        <v>10</v>
      </c>
      <c r="P128" s="1">
        <f>ROUNDUP(1340*(1-$F$3),2)</f>
        <v>1340</v>
      </c>
      <c r="Q128" s="1" t="s">
        <v>49</v>
      </c>
      <c r="R128" s="1" t="s">
        <v>882</v>
      </c>
      <c r="S128" s="1" t="s">
        <v>883</v>
      </c>
      <c r="T128" s="9">
        <v>22</v>
      </c>
      <c r="U128" s="1">
        <f>ROUNDUP(1098.36*(1-$F$3),2)</f>
        <v>1098.3599999999999</v>
      </c>
      <c r="V128" s="1">
        <v>621</v>
      </c>
      <c r="Y128" s="1" t="s">
        <v>884</v>
      </c>
      <c r="Z128" s="1" t="s">
        <v>76</v>
      </c>
      <c r="AA128" s="12">
        <v>44868</v>
      </c>
      <c r="AB128" s="1" t="s">
        <v>66</v>
      </c>
      <c r="AC128" s="1" t="s">
        <v>120</v>
      </c>
      <c r="AD128" s="1" t="s">
        <v>343</v>
      </c>
      <c r="AE128" s="1" t="s">
        <v>69</v>
      </c>
      <c r="AG128" s="1">
        <v>10666950</v>
      </c>
    </row>
    <row r="129" spans="1:33" s="1" customFormat="1" x14ac:dyDescent="0.25">
      <c r="C129" s="1" t="s">
        <v>885</v>
      </c>
      <c r="D129" s="1" t="s">
        <v>886</v>
      </c>
      <c r="E129" s="1" t="s">
        <v>887</v>
      </c>
      <c r="F129" s="13" t="s">
        <v>6952</v>
      </c>
      <c r="G129" s="1" t="s">
        <v>888</v>
      </c>
      <c r="H129" s="1" t="s">
        <v>160</v>
      </c>
      <c r="I129" s="1">
        <v>256</v>
      </c>
      <c r="J129" s="1" t="s">
        <v>46</v>
      </c>
      <c r="M129" s="1" t="s">
        <v>62</v>
      </c>
      <c r="N129" s="1" t="s">
        <v>48</v>
      </c>
      <c r="O129" s="9">
        <v>12</v>
      </c>
      <c r="P129" s="1">
        <f>ROUNDUP(1020*(1-$F$3),2)</f>
        <v>1020</v>
      </c>
      <c r="Q129" s="1" t="s">
        <v>49</v>
      </c>
      <c r="R129" s="1" t="s">
        <v>889</v>
      </c>
      <c r="S129" s="1" t="s">
        <v>890</v>
      </c>
      <c r="T129" s="9">
        <v>10</v>
      </c>
      <c r="U129" s="1">
        <f>ROUNDUP(927.27*(1-$F$3),2)</f>
        <v>927.27</v>
      </c>
      <c r="V129" s="1">
        <v>272</v>
      </c>
      <c r="Y129" s="1" t="s">
        <v>891</v>
      </c>
      <c r="Z129" s="1" t="s">
        <v>53</v>
      </c>
      <c r="AA129" s="12">
        <v>44700</v>
      </c>
      <c r="AB129" s="1" t="s">
        <v>334</v>
      </c>
      <c r="AC129" s="1" t="s">
        <v>892</v>
      </c>
      <c r="AD129" s="1" t="s">
        <v>893</v>
      </c>
      <c r="AE129" s="1" t="s">
        <v>69</v>
      </c>
      <c r="AG129" s="1">
        <v>10442010</v>
      </c>
    </row>
    <row r="130" spans="1:33" s="1" customFormat="1" x14ac:dyDescent="0.25">
      <c r="C130" s="1" t="s">
        <v>894</v>
      </c>
      <c r="D130" s="1" t="s">
        <v>886</v>
      </c>
      <c r="E130" s="1" t="s">
        <v>895</v>
      </c>
      <c r="F130" s="13" t="s">
        <v>6952</v>
      </c>
      <c r="G130" s="1" t="s">
        <v>896</v>
      </c>
      <c r="H130" s="1" t="s">
        <v>160</v>
      </c>
      <c r="I130" s="1">
        <v>274</v>
      </c>
      <c r="J130" s="1" t="s">
        <v>46</v>
      </c>
      <c r="M130" s="1" t="s">
        <v>176</v>
      </c>
      <c r="N130" s="1" t="s">
        <v>48</v>
      </c>
      <c r="O130" s="9">
        <v>14</v>
      </c>
      <c r="P130" s="1">
        <f>ROUNDUP(1020*(1-$F$3),2)</f>
        <v>1020</v>
      </c>
      <c r="Q130" s="1" t="s">
        <v>49</v>
      </c>
      <c r="R130" s="1" t="s">
        <v>897</v>
      </c>
      <c r="S130" s="1" t="s">
        <v>898</v>
      </c>
      <c r="T130" s="9">
        <v>10</v>
      </c>
      <c r="U130" s="1">
        <f>ROUNDUP(927.27*(1-$F$3),2)</f>
        <v>927.27</v>
      </c>
      <c r="V130" s="1">
        <v>336</v>
      </c>
      <c r="Y130" s="1" t="s">
        <v>899</v>
      </c>
      <c r="Z130" s="1" t="s">
        <v>53</v>
      </c>
      <c r="AA130" s="12">
        <v>44209</v>
      </c>
      <c r="AB130" s="1" t="s">
        <v>334</v>
      </c>
      <c r="AC130" s="1" t="s">
        <v>335</v>
      </c>
      <c r="AD130" s="1" t="s">
        <v>336</v>
      </c>
      <c r="AE130" s="1" t="s">
        <v>69</v>
      </c>
      <c r="AG130" s="1">
        <v>9594390</v>
      </c>
    </row>
    <row r="131" spans="1:33" s="1" customFormat="1" x14ac:dyDescent="0.25">
      <c r="C131" s="1" t="s">
        <v>900</v>
      </c>
      <c r="D131" s="1" t="s">
        <v>886</v>
      </c>
      <c r="E131" s="1" t="s">
        <v>901</v>
      </c>
      <c r="F131" s="13" t="s">
        <v>6952</v>
      </c>
      <c r="G131" s="1" t="s">
        <v>902</v>
      </c>
      <c r="H131" s="1" t="s">
        <v>160</v>
      </c>
      <c r="I131" s="1">
        <v>248</v>
      </c>
      <c r="J131" s="1" t="s">
        <v>46</v>
      </c>
      <c r="M131" s="1" t="s">
        <v>169</v>
      </c>
      <c r="N131" s="1" t="s">
        <v>48</v>
      </c>
      <c r="O131" s="9">
        <v>16</v>
      </c>
      <c r="P131" s="1">
        <f>ROUNDUP(1060*(1-$F$3),2)</f>
        <v>1060</v>
      </c>
      <c r="Q131" s="1" t="s">
        <v>49</v>
      </c>
      <c r="R131" s="1" t="s">
        <v>903</v>
      </c>
      <c r="S131" s="1" t="s">
        <v>904</v>
      </c>
      <c r="T131" s="9">
        <v>10</v>
      </c>
      <c r="U131" s="1">
        <f>ROUNDUP(963.64*(1-$F$3),2)</f>
        <v>963.64</v>
      </c>
      <c r="V131" s="1">
        <v>309</v>
      </c>
      <c r="Y131" s="1" t="s">
        <v>905</v>
      </c>
      <c r="Z131" s="1" t="s">
        <v>128</v>
      </c>
      <c r="AA131" s="12">
        <v>44718</v>
      </c>
      <c r="AB131" s="1" t="s">
        <v>334</v>
      </c>
      <c r="AC131" s="1" t="s">
        <v>892</v>
      </c>
      <c r="AD131" s="1" t="s">
        <v>893</v>
      </c>
      <c r="AE131" s="1" t="s">
        <v>69</v>
      </c>
      <c r="AG131" s="1">
        <v>10473730</v>
      </c>
    </row>
    <row r="132" spans="1:33" s="11" customFormat="1" x14ac:dyDescent="0.25">
      <c r="A132" s="11" t="s">
        <v>6953</v>
      </c>
      <c r="C132" s="11" t="s">
        <v>906</v>
      </c>
      <c r="D132" s="11" t="s">
        <v>886</v>
      </c>
      <c r="E132" s="11" t="s">
        <v>907</v>
      </c>
      <c r="F132" s="14" t="s">
        <v>6952</v>
      </c>
      <c r="G132" s="11" t="s">
        <v>908</v>
      </c>
      <c r="H132" s="11" t="s">
        <v>160</v>
      </c>
      <c r="I132" s="11">
        <v>248</v>
      </c>
      <c r="J132" s="11" t="s">
        <v>46</v>
      </c>
      <c r="M132" s="11" t="s">
        <v>62</v>
      </c>
      <c r="N132" s="11" t="s">
        <v>48</v>
      </c>
      <c r="O132" s="23">
        <v>10</v>
      </c>
      <c r="P132" s="11">
        <f>ROUNDUP(890*(1-$F$3),2)</f>
        <v>890</v>
      </c>
      <c r="Q132" s="11" t="s">
        <v>49</v>
      </c>
      <c r="R132" s="11" t="s">
        <v>909</v>
      </c>
      <c r="S132" s="11" t="s">
        <v>910</v>
      </c>
      <c r="T132" s="23">
        <v>10</v>
      </c>
      <c r="U132" s="11">
        <f>ROUNDUP(809.09*(1-$F$3),2)</f>
        <v>809.09</v>
      </c>
      <c r="V132" s="11">
        <v>309</v>
      </c>
      <c r="Y132" s="11" t="s">
        <v>911</v>
      </c>
      <c r="Z132" s="11" t="s">
        <v>128</v>
      </c>
      <c r="AA132" s="15">
        <v>44389</v>
      </c>
      <c r="AB132" s="11" t="s">
        <v>95</v>
      </c>
      <c r="AC132" s="11" t="s">
        <v>96</v>
      </c>
      <c r="AD132" s="11" t="s">
        <v>912</v>
      </c>
      <c r="AE132" s="11" t="s">
        <v>69</v>
      </c>
      <c r="AG132" s="11">
        <v>9441210</v>
      </c>
    </row>
    <row r="133" spans="1:33" s="1" customFormat="1" x14ac:dyDescent="0.25">
      <c r="C133" s="1" t="s">
        <v>913</v>
      </c>
      <c r="D133" s="1" t="s">
        <v>914</v>
      </c>
      <c r="E133" s="1" t="s">
        <v>915</v>
      </c>
      <c r="F133" s="13" t="s">
        <v>6952</v>
      </c>
      <c r="G133" s="1" t="s">
        <v>750</v>
      </c>
      <c r="H133" s="1" t="s">
        <v>61</v>
      </c>
      <c r="I133" s="1">
        <v>496</v>
      </c>
      <c r="J133" s="1" t="s">
        <v>46</v>
      </c>
      <c r="M133" s="1" t="s">
        <v>169</v>
      </c>
      <c r="N133" s="1" t="s">
        <v>139</v>
      </c>
      <c r="O133" s="9">
        <v>6</v>
      </c>
      <c r="P133" s="1">
        <f>ROUNDUP(980*(1-$F$3),2)</f>
        <v>980</v>
      </c>
      <c r="Q133" s="1" t="s">
        <v>49</v>
      </c>
      <c r="R133" s="1" t="s">
        <v>916</v>
      </c>
      <c r="S133" s="1" t="s">
        <v>917</v>
      </c>
      <c r="T133" s="9">
        <v>10</v>
      </c>
      <c r="U133" s="1">
        <f>ROUNDUP(890.91*(1-$F$3),2)</f>
        <v>890.91</v>
      </c>
      <c r="V133" s="1">
        <v>413</v>
      </c>
      <c r="Y133" s="1" t="s">
        <v>918</v>
      </c>
      <c r="Z133" s="1" t="s">
        <v>76</v>
      </c>
      <c r="AA133" s="12">
        <v>44698</v>
      </c>
      <c r="AB133" s="1" t="s">
        <v>66</v>
      </c>
      <c r="AC133" s="1" t="s">
        <v>120</v>
      </c>
      <c r="AD133" s="1" t="s">
        <v>121</v>
      </c>
      <c r="AE133" s="1" t="s">
        <v>69</v>
      </c>
      <c r="AG133" s="1">
        <v>10408250</v>
      </c>
    </row>
    <row r="134" spans="1:33" s="1" customFormat="1" x14ac:dyDescent="0.25">
      <c r="C134" s="1" t="s">
        <v>919</v>
      </c>
      <c r="D134" s="1" t="s">
        <v>914</v>
      </c>
      <c r="E134" s="1" t="s">
        <v>920</v>
      </c>
      <c r="F134" s="13" t="s">
        <v>6952</v>
      </c>
      <c r="G134" s="1" t="s">
        <v>750</v>
      </c>
      <c r="H134" s="1" t="s">
        <v>61</v>
      </c>
      <c r="I134" s="1">
        <v>640</v>
      </c>
      <c r="J134" s="1" t="s">
        <v>46</v>
      </c>
      <c r="M134" s="1" t="s">
        <v>169</v>
      </c>
      <c r="N134" s="1" t="s">
        <v>139</v>
      </c>
      <c r="O134" s="9">
        <v>4</v>
      </c>
      <c r="P134" s="1">
        <f>ROUNDUP(920*(1-$F$3),2)</f>
        <v>920</v>
      </c>
      <c r="Q134" s="1" t="s">
        <v>49</v>
      </c>
      <c r="R134" s="1" t="s">
        <v>921</v>
      </c>
      <c r="S134" s="1" t="s">
        <v>922</v>
      </c>
      <c r="T134" s="9">
        <v>22</v>
      </c>
      <c r="U134" s="1">
        <f>ROUNDUP(754.1*(1-$F$3),2)</f>
        <v>754.1</v>
      </c>
      <c r="V134" s="1">
        <v>571</v>
      </c>
      <c r="Y134" s="1" t="s">
        <v>923</v>
      </c>
      <c r="Z134" s="1" t="s">
        <v>76</v>
      </c>
      <c r="AA134" s="12">
        <v>44713</v>
      </c>
      <c r="AB134" s="1" t="s">
        <v>66</v>
      </c>
      <c r="AC134" s="1" t="s">
        <v>120</v>
      </c>
      <c r="AD134" s="1" t="s">
        <v>121</v>
      </c>
      <c r="AE134" s="1" t="s">
        <v>878</v>
      </c>
      <c r="AG134" s="1">
        <v>10452520</v>
      </c>
    </row>
    <row r="135" spans="1:33" s="1" customFormat="1" x14ac:dyDescent="0.25">
      <c r="C135" s="1" t="s">
        <v>924</v>
      </c>
      <c r="D135" s="1" t="s">
        <v>914</v>
      </c>
      <c r="E135" s="1" t="s">
        <v>925</v>
      </c>
      <c r="F135" s="13" t="s">
        <v>6952</v>
      </c>
      <c r="G135" s="1" t="s">
        <v>926</v>
      </c>
      <c r="H135" s="1" t="s">
        <v>61</v>
      </c>
      <c r="I135" s="1">
        <v>480</v>
      </c>
      <c r="J135" s="1" t="s">
        <v>46</v>
      </c>
      <c r="M135" s="1" t="s">
        <v>169</v>
      </c>
      <c r="N135" s="1" t="s">
        <v>139</v>
      </c>
      <c r="O135" s="9">
        <v>5</v>
      </c>
      <c r="P135" s="1">
        <f>ROUNDUP(830*(1-$F$3),2)</f>
        <v>830</v>
      </c>
      <c r="Q135" s="1" t="s">
        <v>49</v>
      </c>
      <c r="R135" s="1" t="s">
        <v>927</v>
      </c>
      <c r="S135" s="1" t="s">
        <v>928</v>
      </c>
      <c r="T135" s="9">
        <v>22</v>
      </c>
      <c r="U135" s="1">
        <f>ROUNDUP(680.33*(1-$F$3),2)</f>
        <v>680.33</v>
      </c>
      <c r="V135" s="1">
        <v>432</v>
      </c>
      <c r="Y135" s="1" t="s">
        <v>929</v>
      </c>
      <c r="Z135" s="1" t="s">
        <v>76</v>
      </c>
      <c r="AA135" s="12">
        <v>44713</v>
      </c>
      <c r="AB135" s="1" t="s">
        <v>334</v>
      </c>
      <c r="AC135" s="1" t="s">
        <v>627</v>
      </c>
      <c r="AD135" s="1" t="s">
        <v>930</v>
      </c>
      <c r="AE135" s="1" t="s">
        <v>878</v>
      </c>
      <c r="AG135" s="1">
        <v>10451050</v>
      </c>
    </row>
    <row r="136" spans="1:33" s="1" customFormat="1" x14ac:dyDescent="0.25">
      <c r="C136" s="1" t="s">
        <v>931</v>
      </c>
      <c r="D136" s="1" t="s">
        <v>914</v>
      </c>
      <c r="E136" s="1" t="s">
        <v>932</v>
      </c>
      <c r="F136" s="13" t="s">
        <v>6952</v>
      </c>
      <c r="G136" s="1" t="s">
        <v>843</v>
      </c>
      <c r="H136" s="1" t="s">
        <v>61</v>
      </c>
      <c r="I136" s="1">
        <v>320</v>
      </c>
      <c r="J136" s="1" t="s">
        <v>46</v>
      </c>
      <c r="M136" s="1" t="s">
        <v>169</v>
      </c>
      <c r="N136" s="1" t="s">
        <v>139</v>
      </c>
      <c r="O136" s="9">
        <v>8</v>
      </c>
      <c r="P136" s="1">
        <f>ROUNDUP(750*(1-$F$3),2)</f>
        <v>750</v>
      </c>
      <c r="Q136" s="1" t="s">
        <v>49</v>
      </c>
      <c r="R136" s="1" t="s">
        <v>933</v>
      </c>
      <c r="S136" s="1" t="s">
        <v>934</v>
      </c>
      <c r="T136" s="9">
        <v>10</v>
      </c>
      <c r="U136" s="1">
        <f>ROUNDUP(681.82*(1-$F$3),2)</f>
        <v>681.82</v>
      </c>
      <c r="V136" s="1">
        <v>289</v>
      </c>
      <c r="Y136" s="1" t="s">
        <v>935</v>
      </c>
      <c r="Z136" s="1" t="s">
        <v>53</v>
      </c>
      <c r="AA136" s="12">
        <v>44713</v>
      </c>
      <c r="AB136" s="1" t="s">
        <v>95</v>
      </c>
      <c r="AC136" s="1" t="s">
        <v>112</v>
      </c>
      <c r="AD136" s="1" t="s">
        <v>243</v>
      </c>
      <c r="AE136" s="1" t="s">
        <v>878</v>
      </c>
      <c r="AG136" s="1">
        <v>10451040</v>
      </c>
    </row>
    <row r="137" spans="1:33" s="1" customFormat="1" x14ac:dyDescent="0.25">
      <c r="C137" s="1" t="s">
        <v>936</v>
      </c>
      <c r="D137" s="1" t="s">
        <v>914</v>
      </c>
      <c r="E137" s="1" t="s">
        <v>937</v>
      </c>
      <c r="F137" s="13" t="s">
        <v>6952</v>
      </c>
      <c r="G137" s="1" t="s">
        <v>938</v>
      </c>
      <c r="H137" s="1" t="s">
        <v>61</v>
      </c>
      <c r="I137" s="1">
        <v>432</v>
      </c>
      <c r="J137" s="1" t="s">
        <v>46</v>
      </c>
      <c r="M137" s="1" t="s">
        <v>169</v>
      </c>
      <c r="N137" s="1" t="s">
        <v>139</v>
      </c>
      <c r="O137" s="9">
        <v>7</v>
      </c>
      <c r="P137" s="1">
        <f>ROUNDUP(950*(1-$F$3),2)</f>
        <v>950</v>
      </c>
      <c r="Q137" s="1" t="s">
        <v>49</v>
      </c>
      <c r="R137" s="1" t="s">
        <v>939</v>
      </c>
      <c r="S137" s="1" t="s">
        <v>940</v>
      </c>
      <c r="T137" s="9">
        <v>10</v>
      </c>
      <c r="U137" s="1">
        <f>ROUNDUP(863.64*(1-$F$3),2)</f>
        <v>863.64</v>
      </c>
      <c r="V137" s="1">
        <v>356</v>
      </c>
      <c r="Y137" s="1" t="s">
        <v>941</v>
      </c>
      <c r="Z137" s="1" t="s">
        <v>53</v>
      </c>
      <c r="AA137" s="12">
        <v>44698</v>
      </c>
      <c r="AB137" s="1" t="s">
        <v>66</v>
      </c>
      <c r="AC137" s="1" t="s">
        <v>120</v>
      </c>
      <c r="AD137" s="1" t="s">
        <v>121</v>
      </c>
      <c r="AE137" s="1" t="s">
        <v>69</v>
      </c>
      <c r="AG137" s="1">
        <v>10409200</v>
      </c>
    </row>
    <row r="138" spans="1:33" s="1" customFormat="1" x14ac:dyDescent="0.25">
      <c r="C138" s="1" t="s">
        <v>942</v>
      </c>
      <c r="D138" s="1" t="s">
        <v>914</v>
      </c>
      <c r="E138" s="1" t="s">
        <v>943</v>
      </c>
      <c r="F138" s="13" t="s">
        <v>6952</v>
      </c>
      <c r="G138" s="1" t="s">
        <v>944</v>
      </c>
      <c r="H138" s="1" t="s">
        <v>61</v>
      </c>
      <c r="I138" s="1">
        <v>384</v>
      </c>
      <c r="J138" s="1" t="s">
        <v>46</v>
      </c>
      <c r="M138" s="1" t="s">
        <v>169</v>
      </c>
      <c r="N138" s="1" t="s">
        <v>139</v>
      </c>
      <c r="O138" s="9">
        <v>6</v>
      </c>
      <c r="P138" s="1">
        <f>ROUNDUP(780*(1-$F$3),2)</f>
        <v>780</v>
      </c>
      <c r="Q138" s="1" t="s">
        <v>49</v>
      </c>
      <c r="R138" s="1" t="s">
        <v>945</v>
      </c>
      <c r="S138" s="1" t="s">
        <v>946</v>
      </c>
      <c r="T138" s="9">
        <v>10</v>
      </c>
      <c r="U138" s="1">
        <f>ROUNDUP(709.09*(1-$F$3),2)</f>
        <v>709.09</v>
      </c>
      <c r="V138" s="1">
        <v>357</v>
      </c>
      <c r="Y138" s="1" t="s">
        <v>947</v>
      </c>
      <c r="Z138" s="1" t="s">
        <v>53</v>
      </c>
      <c r="AA138" s="12">
        <v>44805</v>
      </c>
      <c r="AB138" s="1" t="s">
        <v>66</v>
      </c>
      <c r="AC138" s="1" t="s">
        <v>120</v>
      </c>
      <c r="AD138" s="1" t="s">
        <v>598</v>
      </c>
      <c r="AE138" s="1" t="s">
        <v>69</v>
      </c>
      <c r="AG138" s="1">
        <v>10506700</v>
      </c>
    </row>
    <row r="139" spans="1:33" s="1" customFormat="1" x14ac:dyDescent="0.25">
      <c r="C139" s="1" t="s">
        <v>948</v>
      </c>
      <c r="D139" s="1" t="s">
        <v>914</v>
      </c>
      <c r="E139" s="1" t="s">
        <v>949</v>
      </c>
      <c r="F139" s="13" t="s">
        <v>6952</v>
      </c>
      <c r="G139" s="1" t="s">
        <v>950</v>
      </c>
      <c r="H139" s="1" t="s">
        <v>61</v>
      </c>
      <c r="I139" s="1">
        <v>512</v>
      </c>
      <c r="J139" s="1" t="s">
        <v>46</v>
      </c>
      <c r="M139" s="1" t="s">
        <v>169</v>
      </c>
      <c r="N139" s="1" t="s">
        <v>139</v>
      </c>
      <c r="O139" s="9">
        <v>6</v>
      </c>
      <c r="P139" s="1">
        <f>ROUNDUP(1010*(1-$F$3),2)</f>
        <v>1010</v>
      </c>
      <c r="Q139" s="1" t="s">
        <v>49</v>
      </c>
      <c r="R139" s="1" t="s">
        <v>951</v>
      </c>
      <c r="S139" s="1" t="s">
        <v>952</v>
      </c>
      <c r="T139" s="9">
        <v>10</v>
      </c>
      <c r="U139" s="1">
        <f>ROUNDUP(918.18*(1-$F$3),2)</f>
        <v>918.18</v>
      </c>
      <c r="V139" s="1">
        <v>422</v>
      </c>
      <c r="Y139" s="1" t="s">
        <v>953</v>
      </c>
      <c r="Z139" s="1" t="s">
        <v>76</v>
      </c>
      <c r="AA139" s="12">
        <v>44708</v>
      </c>
      <c r="AB139" s="1" t="s">
        <v>66</v>
      </c>
      <c r="AC139" s="1" t="s">
        <v>143</v>
      </c>
      <c r="AD139" s="1" t="s">
        <v>847</v>
      </c>
      <c r="AE139" s="1" t="s">
        <v>878</v>
      </c>
      <c r="AG139" s="1">
        <v>10435900</v>
      </c>
    </row>
    <row r="140" spans="1:33" s="1" customFormat="1" x14ac:dyDescent="0.25">
      <c r="C140" s="1" t="s">
        <v>954</v>
      </c>
      <c r="D140" s="1" t="s">
        <v>914</v>
      </c>
      <c r="E140" s="1" t="s">
        <v>955</v>
      </c>
      <c r="F140" s="13" t="s">
        <v>6952</v>
      </c>
      <c r="G140" s="1" t="s">
        <v>938</v>
      </c>
      <c r="H140" s="1" t="s">
        <v>61</v>
      </c>
      <c r="I140" s="1">
        <v>336</v>
      </c>
      <c r="J140" s="1" t="s">
        <v>46</v>
      </c>
      <c r="M140" s="1" t="s">
        <v>169</v>
      </c>
      <c r="N140" s="1" t="s">
        <v>139</v>
      </c>
      <c r="O140" s="9">
        <v>7</v>
      </c>
      <c r="P140" s="1">
        <f>ROUNDUP(910*(1-$F$3),2)</f>
        <v>910</v>
      </c>
      <c r="Q140" s="1" t="s">
        <v>49</v>
      </c>
      <c r="R140" s="1" t="s">
        <v>956</v>
      </c>
      <c r="S140" s="1" t="s">
        <v>957</v>
      </c>
      <c r="T140" s="9">
        <v>10</v>
      </c>
      <c r="U140" s="1">
        <f>ROUNDUP(827.27*(1-$F$3),2)</f>
        <v>827.27</v>
      </c>
      <c r="V140" s="1">
        <v>284</v>
      </c>
      <c r="Y140" s="1" t="s">
        <v>958</v>
      </c>
      <c r="Z140" s="1" t="s">
        <v>76</v>
      </c>
      <c r="AA140" s="12">
        <v>44698</v>
      </c>
      <c r="AB140" s="1" t="s">
        <v>66</v>
      </c>
      <c r="AC140" s="1" t="s">
        <v>143</v>
      </c>
      <c r="AD140" s="1" t="s">
        <v>144</v>
      </c>
      <c r="AE140" s="1" t="s">
        <v>69</v>
      </c>
      <c r="AG140" s="1">
        <v>10406790</v>
      </c>
    </row>
    <row r="141" spans="1:33" s="1" customFormat="1" x14ac:dyDescent="0.25">
      <c r="C141" s="1" t="s">
        <v>959</v>
      </c>
      <c r="D141" s="1" t="s">
        <v>914</v>
      </c>
      <c r="E141" s="1" t="s">
        <v>960</v>
      </c>
      <c r="F141" s="13" t="s">
        <v>6952</v>
      </c>
      <c r="G141" s="1" t="s">
        <v>961</v>
      </c>
      <c r="H141" s="1" t="s">
        <v>61</v>
      </c>
      <c r="I141" s="1">
        <v>352</v>
      </c>
      <c r="J141" s="1" t="s">
        <v>46</v>
      </c>
      <c r="M141" s="1" t="s">
        <v>169</v>
      </c>
      <c r="N141" s="1" t="s">
        <v>139</v>
      </c>
      <c r="O141" s="9">
        <v>8</v>
      </c>
      <c r="P141" s="1">
        <f>ROUNDUP(780*(1-$F$3),2)</f>
        <v>780</v>
      </c>
      <c r="Q141" s="1" t="s">
        <v>49</v>
      </c>
      <c r="R141" s="1" t="s">
        <v>962</v>
      </c>
      <c r="S141" s="1" t="s">
        <v>963</v>
      </c>
      <c r="T141" s="9">
        <v>10</v>
      </c>
      <c r="U141" s="1">
        <f>ROUNDUP(709.09*(1-$F$3),2)</f>
        <v>709.09</v>
      </c>
      <c r="V141" s="1">
        <v>293</v>
      </c>
      <c r="Y141" s="1" t="s">
        <v>964</v>
      </c>
      <c r="Z141" s="1" t="s">
        <v>53</v>
      </c>
      <c r="AA141" s="12">
        <v>44827</v>
      </c>
      <c r="AB141" s="1" t="s">
        <v>66</v>
      </c>
      <c r="AC141" s="1" t="s">
        <v>120</v>
      </c>
      <c r="AD141" s="1" t="s">
        <v>121</v>
      </c>
      <c r="AE141" s="1" t="s">
        <v>69</v>
      </c>
      <c r="AG141" s="1">
        <v>10536530</v>
      </c>
    </row>
    <row r="142" spans="1:33" s="1" customFormat="1" x14ac:dyDescent="0.25">
      <c r="C142" s="1" t="s">
        <v>965</v>
      </c>
      <c r="D142" s="1" t="s">
        <v>914</v>
      </c>
      <c r="E142" s="1" t="s">
        <v>966</v>
      </c>
      <c r="F142" s="13" t="s">
        <v>6952</v>
      </c>
      <c r="G142" s="1" t="s">
        <v>503</v>
      </c>
      <c r="H142" s="1" t="s">
        <v>61</v>
      </c>
      <c r="I142" s="1">
        <v>336</v>
      </c>
      <c r="J142" s="1" t="s">
        <v>46</v>
      </c>
      <c r="M142" s="1" t="s">
        <v>169</v>
      </c>
      <c r="N142" s="1" t="s">
        <v>139</v>
      </c>
      <c r="O142" s="9">
        <v>8</v>
      </c>
      <c r="P142" s="1">
        <f>ROUNDUP(860*(1-$F$3),2)</f>
        <v>860</v>
      </c>
      <c r="Q142" s="1" t="s">
        <v>49</v>
      </c>
      <c r="R142" s="1" t="s">
        <v>967</v>
      </c>
      <c r="S142" s="1" t="s">
        <v>968</v>
      </c>
      <c r="T142" s="9">
        <v>22</v>
      </c>
      <c r="U142" s="1">
        <f>ROUNDUP(704.92*(1-$F$3),2)</f>
        <v>704.92</v>
      </c>
      <c r="V142" s="1">
        <v>279</v>
      </c>
      <c r="Y142" s="1" t="s">
        <v>969</v>
      </c>
      <c r="Z142" s="1" t="s">
        <v>128</v>
      </c>
      <c r="AA142" s="12">
        <v>44701</v>
      </c>
      <c r="AB142" s="1" t="s">
        <v>286</v>
      </c>
      <c r="AC142" s="1" t="s">
        <v>320</v>
      </c>
      <c r="AD142" s="1" t="s">
        <v>970</v>
      </c>
      <c r="AE142" s="1" t="s">
        <v>878</v>
      </c>
      <c r="AG142" s="1">
        <v>10409380</v>
      </c>
    </row>
    <row r="143" spans="1:33" s="1" customFormat="1" x14ac:dyDescent="0.25">
      <c r="C143" s="1" t="s">
        <v>971</v>
      </c>
      <c r="D143" s="1" t="s">
        <v>914</v>
      </c>
      <c r="E143" s="1" t="s">
        <v>972</v>
      </c>
      <c r="F143" s="13" t="s">
        <v>6952</v>
      </c>
      <c r="G143" s="1" t="s">
        <v>973</v>
      </c>
      <c r="H143" s="1" t="s">
        <v>61</v>
      </c>
      <c r="I143" s="1">
        <v>384</v>
      </c>
      <c r="J143" s="1" t="s">
        <v>46</v>
      </c>
      <c r="M143" s="1" t="s">
        <v>176</v>
      </c>
      <c r="N143" s="1" t="s">
        <v>139</v>
      </c>
      <c r="O143" s="9">
        <v>6</v>
      </c>
      <c r="P143" s="1">
        <f>ROUNDUP(920*(1-$F$3),2)</f>
        <v>920</v>
      </c>
      <c r="Q143" s="1" t="s">
        <v>49</v>
      </c>
      <c r="R143" s="1" t="s">
        <v>974</v>
      </c>
      <c r="S143" s="1" t="s">
        <v>975</v>
      </c>
      <c r="T143" s="9">
        <v>10</v>
      </c>
      <c r="U143" s="1">
        <f>ROUNDUP(836.36*(1-$F$3),2)</f>
        <v>836.36</v>
      </c>
      <c r="V143" s="1">
        <v>267</v>
      </c>
      <c r="Y143" s="1" t="s">
        <v>976</v>
      </c>
      <c r="Z143" s="1" t="s">
        <v>53</v>
      </c>
      <c r="AA143" s="12">
        <v>44701</v>
      </c>
      <c r="AB143" s="1" t="s">
        <v>66</v>
      </c>
      <c r="AC143" s="1" t="s">
        <v>683</v>
      </c>
      <c r="AD143" s="1" t="s">
        <v>684</v>
      </c>
      <c r="AE143" s="1" t="s">
        <v>69</v>
      </c>
      <c r="AG143" s="1">
        <v>10408430</v>
      </c>
    </row>
    <row r="144" spans="1:33" s="1" customFormat="1" x14ac:dyDescent="0.25">
      <c r="C144" s="1" t="s">
        <v>977</v>
      </c>
      <c r="D144" s="1" t="s">
        <v>914</v>
      </c>
      <c r="E144" s="1" t="s">
        <v>978</v>
      </c>
      <c r="F144" s="13" t="s">
        <v>6952</v>
      </c>
      <c r="G144" s="1" t="s">
        <v>979</v>
      </c>
      <c r="H144" s="1" t="s">
        <v>61</v>
      </c>
      <c r="I144" s="1">
        <v>544</v>
      </c>
      <c r="J144" s="1" t="s">
        <v>46</v>
      </c>
      <c r="M144" s="1" t="s">
        <v>169</v>
      </c>
      <c r="N144" s="1" t="s">
        <v>139</v>
      </c>
      <c r="O144" s="9">
        <v>5</v>
      </c>
      <c r="P144" s="1">
        <f>ROUNDUP(890*(1-$F$3),2)</f>
        <v>890</v>
      </c>
      <c r="Q144" s="1" t="s">
        <v>49</v>
      </c>
      <c r="R144" s="1" t="s">
        <v>980</v>
      </c>
      <c r="S144" s="1" t="s">
        <v>981</v>
      </c>
      <c r="T144" s="9">
        <v>10</v>
      </c>
      <c r="U144" s="1">
        <f>ROUNDUP(809.09*(1-$F$3),2)</f>
        <v>809.09</v>
      </c>
      <c r="V144" s="1">
        <v>452</v>
      </c>
      <c r="Y144" s="1" t="s">
        <v>982</v>
      </c>
      <c r="Z144" s="1" t="s">
        <v>53</v>
      </c>
      <c r="AA144" s="12">
        <v>44713</v>
      </c>
      <c r="AB144" s="1" t="s">
        <v>66</v>
      </c>
      <c r="AC144" s="1" t="s">
        <v>143</v>
      </c>
      <c r="AD144" s="1" t="s">
        <v>847</v>
      </c>
      <c r="AE144" s="1" t="s">
        <v>878</v>
      </c>
      <c r="AG144" s="1">
        <v>10452720</v>
      </c>
    </row>
    <row r="145" spans="3:33" s="1" customFormat="1" x14ac:dyDescent="0.25">
      <c r="C145" s="1" t="s">
        <v>983</v>
      </c>
      <c r="D145" s="1" t="s">
        <v>984</v>
      </c>
      <c r="E145" s="1" t="s">
        <v>985</v>
      </c>
      <c r="F145" s="13" t="s">
        <v>6952</v>
      </c>
      <c r="G145" s="1" t="s">
        <v>986</v>
      </c>
      <c r="H145" s="1" t="s">
        <v>61</v>
      </c>
      <c r="I145" s="1">
        <v>560</v>
      </c>
      <c r="J145" s="1" t="s">
        <v>46</v>
      </c>
      <c r="M145" s="1" t="s">
        <v>987</v>
      </c>
      <c r="N145" s="1" t="s">
        <v>48</v>
      </c>
      <c r="O145" s="9">
        <v>6</v>
      </c>
      <c r="P145" s="1">
        <f>ROUNDUP(1230*(1-$F$3),2)</f>
        <v>1230</v>
      </c>
      <c r="Q145" s="1" t="s">
        <v>49</v>
      </c>
      <c r="R145" s="1" t="s">
        <v>988</v>
      </c>
      <c r="S145" s="1" t="s">
        <v>989</v>
      </c>
      <c r="T145" s="9">
        <v>10</v>
      </c>
      <c r="U145" s="1">
        <f>ROUNDUP(1118.18*(1-$F$3),2)</f>
        <v>1118.18</v>
      </c>
      <c r="V145" s="1">
        <v>651</v>
      </c>
      <c r="Y145" s="1" t="s">
        <v>990</v>
      </c>
      <c r="Z145" s="1" t="s">
        <v>53</v>
      </c>
      <c r="AA145" s="12">
        <v>42991</v>
      </c>
      <c r="AB145" s="1" t="s">
        <v>66</v>
      </c>
      <c r="AC145" s="1" t="s">
        <v>143</v>
      </c>
      <c r="AD145" s="1" t="s">
        <v>144</v>
      </c>
      <c r="AE145" s="1" t="s">
        <v>69</v>
      </c>
      <c r="AG145" s="1">
        <v>8242700</v>
      </c>
    </row>
    <row r="146" spans="3:33" s="1" customFormat="1" x14ac:dyDescent="0.25">
      <c r="C146" s="1" t="s">
        <v>991</v>
      </c>
      <c r="D146" s="1" t="s">
        <v>992</v>
      </c>
      <c r="E146" s="1" t="s">
        <v>993</v>
      </c>
      <c r="F146" s="13" t="s">
        <v>6952</v>
      </c>
      <c r="G146" s="1" t="s">
        <v>994</v>
      </c>
      <c r="H146" s="1" t="s">
        <v>160</v>
      </c>
      <c r="I146" s="1">
        <v>368</v>
      </c>
      <c r="J146" s="1" t="s">
        <v>46</v>
      </c>
      <c r="M146" s="1" t="s">
        <v>756</v>
      </c>
      <c r="N146" s="1" t="s">
        <v>48</v>
      </c>
      <c r="O146" s="9">
        <v>10</v>
      </c>
      <c r="P146" s="1">
        <f>ROUNDUP(1160*(1-$F$3),2)</f>
        <v>1160</v>
      </c>
      <c r="Q146" s="1" t="s">
        <v>49</v>
      </c>
      <c r="R146" s="1" t="s">
        <v>995</v>
      </c>
      <c r="S146" s="1" t="s">
        <v>996</v>
      </c>
      <c r="T146" s="9">
        <v>10</v>
      </c>
      <c r="U146" s="1">
        <f>ROUNDUP(1054.55*(1-$F$3),2)</f>
        <v>1054.55</v>
      </c>
      <c r="V146" s="1">
        <v>399</v>
      </c>
      <c r="Y146" s="1" t="s">
        <v>997</v>
      </c>
      <c r="Z146" s="1" t="s">
        <v>53</v>
      </c>
      <c r="AA146" s="12">
        <v>44304</v>
      </c>
      <c r="AB146" s="1" t="s">
        <v>66</v>
      </c>
      <c r="AC146" s="1" t="s">
        <v>491</v>
      </c>
      <c r="AD146" s="1" t="s">
        <v>492</v>
      </c>
      <c r="AE146" s="1" t="s">
        <v>69</v>
      </c>
      <c r="AG146" s="1">
        <v>9675950</v>
      </c>
    </row>
    <row r="147" spans="3:33" s="1" customFormat="1" x14ac:dyDescent="0.25">
      <c r="C147" s="1" t="s">
        <v>998</v>
      </c>
      <c r="D147" s="1" t="s">
        <v>999</v>
      </c>
      <c r="E147" s="1" t="s">
        <v>1000</v>
      </c>
      <c r="F147" s="13" t="s">
        <v>6952</v>
      </c>
      <c r="G147" s="1" t="s">
        <v>1001</v>
      </c>
      <c r="H147" s="1" t="s">
        <v>160</v>
      </c>
      <c r="I147" s="1">
        <v>336</v>
      </c>
      <c r="J147" s="1" t="s">
        <v>46</v>
      </c>
      <c r="M147" s="1" t="s">
        <v>176</v>
      </c>
      <c r="N147" s="1" t="s">
        <v>48</v>
      </c>
      <c r="O147" s="9">
        <v>12</v>
      </c>
      <c r="P147" s="1">
        <f>ROUNDUP(1050*(1-$F$3),2)</f>
        <v>1050</v>
      </c>
      <c r="Q147" s="1" t="s">
        <v>49</v>
      </c>
      <c r="R147" s="1" t="s">
        <v>1002</v>
      </c>
      <c r="S147" s="1" t="s">
        <v>1003</v>
      </c>
      <c r="T147" s="9">
        <v>10</v>
      </c>
      <c r="U147" s="1">
        <f>ROUNDUP(954.55*(1-$F$3),2)</f>
        <v>954.55</v>
      </c>
      <c r="V147" s="1">
        <v>298</v>
      </c>
      <c r="Y147" s="1" t="s">
        <v>1004</v>
      </c>
      <c r="Z147" s="1" t="s">
        <v>53</v>
      </c>
      <c r="AA147" s="12">
        <v>45426</v>
      </c>
      <c r="AB147" s="1" t="s">
        <v>66</v>
      </c>
      <c r="AC147" s="1" t="s">
        <v>143</v>
      </c>
      <c r="AD147" s="1" t="s">
        <v>144</v>
      </c>
      <c r="AE147" s="1" t="s">
        <v>69</v>
      </c>
      <c r="AG147" s="1">
        <v>11287240</v>
      </c>
    </row>
    <row r="148" spans="3:33" s="1" customFormat="1" x14ac:dyDescent="0.25">
      <c r="C148" s="1" t="s">
        <v>1005</v>
      </c>
      <c r="D148" s="1" t="s">
        <v>999</v>
      </c>
      <c r="E148" s="1" t="s">
        <v>1006</v>
      </c>
      <c r="F148" s="13" t="s">
        <v>6952</v>
      </c>
      <c r="G148" s="1" t="s">
        <v>1007</v>
      </c>
      <c r="H148" s="1" t="s">
        <v>160</v>
      </c>
      <c r="I148" s="1">
        <v>208</v>
      </c>
      <c r="J148" s="1" t="s">
        <v>46</v>
      </c>
      <c r="M148" s="1" t="s">
        <v>176</v>
      </c>
      <c r="N148" s="1" t="s">
        <v>48</v>
      </c>
      <c r="O148" s="9">
        <v>16</v>
      </c>
      <c r="P148" s="1">
        <f>ROUNDUP(820*(1-$F$3),2)</f>
        <v>820</v>
      </c>
      <c r="Q148" s="1" t="s">
        <v>49</v>
      </c>
      <c r="R148" s="1" t="s">
        <v>1008</v>
      </c>
      <c r="S148" s="1" t="s">
        <v>1009</v>
      </c>
      <c r="T148" s="9">
        <v>10</v>
      </c>
      <c r="U148" s="1">
        <f>ROUNDUP(745.45*(1-$F$3),2)</f>
        <v>745.45</v>
      </c>
      <c r="V148" s="1">
        <v>219</v>
      </c>
      <c r="Y148" s="1" t="s">
        <v>1010</v>
      </c>
      <c r="Z148" s="1" t="s">
        <v>53</v>
      </c>
      <c r="AA148" s="12">
        <v>45426</v>
      </c>
      <c r="AB148" s="1" t="s">
        <v>66</v>
      </c>
      <c r="AC148" s="1" t="s">
        <v>143</v>
      </c>
      <c r="AD148" s="1" t="s">
        <v>144</v>
      </c>
      <c r="AE148" s="1" t="s">
        <v>69</v>
      </c>
      <c r="AG148" s="1">
        <v>11287230</v>
      </c>
    </row>
    <row r="149" spans="3:33" s="1" customFormat="1" x14ac:dyDescent="0.25">
      <c r="C149" s="1" t="s">
        <v>1011</v>
      </c>
      <c r="D149" s="1" t="s">
        <v>1012</v>
      </c>
      <c r="E149" s="1" t="s">
        <v>1013</v>
      </c>
      <c r="F149" s="13" t="s">
        <v>6952</v>
      </c>
      <c r="G149" s="1" t="s">
        <v>1014</v>
      </c>
      <c r="H149" s="1" t="s">
        <v>160</v>
      </c>
      <c r="I149" s="1">
        <v>342</v>
      </c>
      <c r="J149" s="1" t="s">
        <v>46</v>
      </c>
      <c r="M149" s="1" t="s">
        <v>169</v>
      </c>
      <c r="N149" s="1" t="s">
        <v>48</v>
      </c>
      <c r="O149" s="9">
        <v>12</v>
      </c>
      <c r="P149" s="1">
        <f>ROUNDUP(1200*(1-$F$3),2)</f>
        <v>1200</v>
      </c>
      <c r="Q149" s="1" t="s">
        <v>49</v>
      </c>
      <c r="R149" s="1" t="s">
        <v>1015</v>
      </c>
      <c r="S149" s="1" t="s">
        <v>1016</v>
      </c>
      <c r="T149" s="9">
        <v>10</v>
      </c>
      <c r="U149" s="1">
        <f>ROUNDUP(1090.91*(1-$F$3),2)</f>
        <v>1090.9100000000001</v>
      </c>
      <c r="V149" s="1">
        <v>383</v>
      </c>
      <c r="Y149" s="1" t="s">
        <v>1017</v>
      </c>
      <c r="Z149" s="1" t="s">
        <v>128</v>
      </c>
      <c r="AA149" s="12">
        <v>44775</v>
      </c>
      <c r="AB149" s="1" t="s">
        <v>66</v>
      </c>
      <c r="AC149" s="1" t="s">
        <v>67</v>
      </c>
      <c r="AD149" s="1" t="s">
        <v>180</v>
      </c>
      <c r="AE149" s="1" t="s">
        <v>69</v>
      </c>
      <c r="AG149" s="1">
        <v>10535740</v>
      </c>
    </row>
    <row r="150" spans="3:33" s="1" customFormat="1" x14ac:dyDescent="0.25">
      <c r="C150" s="1" t="s">
        <v>1018</v>
      </c>
      <c r="D150" s="1" t="s">
        <v>1012</v>
      </c>
      <c r="E150" s="1" t="s">
        <v>1019</v>
      </c>
      <c r="F150" s="13" t="s">
        <v>6952</v>
      </c>
      <c r="G150" s="1" t="s">
        <v>1020</v>
      </c>
      <c r="H150" s="1" t="s">
        <v>160</v>
      </c>
      <c r="I150" s="1">
        <v>432</v>
      </c>
      <c r="J150" s="1" t="s">
        <v>46</v>
      </c>
      <c r="M150" s="1" t="s">
        <v>47</v>
      </c>
      <c r="N150" s="1" t="s">
        <v>48</v>
      </c>
      <c r="O150" s="9">
        <v>5</v>
      </c>
      <c r="P150" s="1">
        <f>ROUNDUP(1670*(1-$F$3),2)</f>
        <v>1670</v>
      </c>
      <c r="Q150" s="1" t="s">
        <v>49</v>
      </c>
      <c r="R150" s="1" t="s">
        <v>1021</v>
      </c>
      <c r="S150" s="1" t="s">
        <v>1022</v>
      </c>
      <c r="T150" s="9">
        <v>10</v>
      </c>
      <c r="U150" s="1">
        <f>ROUNDUP(1518.18*(1-$F$3),2)</f>
        <v>1518.18</v>
      </c>
      <c r="V150" s="1">
        <v>411</v>
      </c>
      <c r="Y150" s="1" t="s">
        <v>1023</v>
      </c>
      <c r="Z150" s="1" t="s">
        <v>53</v>
      </c>
      <c r="AA150" s="12">
        <v>44742</v>
      </c>
      <c r="AB150" s="1" t="s">
        <v>66</v>
      </c>
      <c r="AC150" s="1" t="s">
        <v>67</v>
      </c>
      <c r="AD150" s="1" t="s">
        <v>180</v>
      </c>
      <c r="AE150" s="1" t="s">
        <v>69</v>
      </c>
      <c r="AG150" s="1">
        <v>10409710</v>
      </c>
    </row>
    <row r="151" spans="3:33" s="1" customFormat="1" x14ac:dyDescent="0.25">
      <c r="C151" s="1" t="s">
        <v>1024</v>
      </c>
      <c r="D151" s="1" t="s">
        <v>1012</v>
      </c>
      <c r="E151" s="1" t="s">
        <v>1025</v>
      </c>
      <c r="F151" s="13" t="s">
        <v>6952</v>
      </c>
      <c r="G151" s="1" t="s">
        <v>1026</v>
      </c>
      <c r="H151" s="1" t="s">
        <v>160</v>
      </c>
      <c r="I151" s="1">
        <v>256</v>
      </c>
      <c r="J151" s="1" t="s">
        <v>46</v>
      </c>
      <c r="M151" s="1" t="s">
        <v>756</v>
      </c>
      <c r="N151" s="1" t="s">
        <v>48</v>
      </c>
      <c r="O151" s="9">
        <v>12</v>
      </c>
      <c r="P151" s="1">
        <f>ROUNDUP(1010*(1-$F$3),2)</f>
        <v>1010</v>
      </c>
      <c r="Q151" s="1" t="s">
        <v>49</v>
      </c>
      <c r="R151" s="1" t="s">
        <v>1027</v>
      </c>
      <c r="S151" s="1" t="s">
        <v>1028</v>
      </c>
      <c r="T151" s="9">
        <v>10</v>
      </c>
      <c r="U151" s="1">
        <f>ROUNDUP(918.18*(1-$F$3),2)</f>
        <v>918.18</v>
      </c>
      <c r="V151" s="1">
        <v>303</v>
      </c>
      <c r="Y151" s="1" t="s">
        <v>1029</v>
      </c>
      <c r="Z151" s="1" t="s">
        <v>53</v>
      </c>
      <c r="AA151" s="12">
        <v>44496</v>
      </c>
      <c r="AB151" s="1" t="s">
        <v>66</v>
      </c>
      <c r="AC151" s="1" t="s">
        <v>67</v>
      </c>
      <c r="AD151" s="1" t="s">
        <v>670</v>
      </c>
      <c r="AE151" s="1" t="s">
        <v>69</v>
      </c>
      <c r="AG151" s="1">
        <v>9855480</v>
      </c>
    </row>
    <row r="152" spans="3:33" s="1" customFormat="1" x14ac:dyDescent="0.25">
      <c r="C152" s="1" t="s">
        <v>1030</v>
      </c>
      <c r="D152" s="1" t="s">
        <v>1012</v>
      </c>
      <c r="E152" s="1" t="s">
        <v>1031</v>
      </c>
      <c r="F152" s="13" t="s">
        <v>6952</v>
      </c>
      <c r="G152" s="1" t="s">
        <v>1032</v>
      </c>
      <c r="H152" s="1" t="s">
        <v>160</v>
      </c>
      <c r="I152" s="1">
        <v>352</v>
      </c>
      <c r="J152" s="1" t="s">
        <v>46</v>
      </c>
      <c r="M152" s="1" t="s">
        <v>161</v>
      </c>
      <c r="N152" s="1" t="s">
        <v>48</v>
      </c>
      <c r="O152" s="9">
        <v>8</v>
      </c>
      <c r="P152" s="1">
        <f>ROUNDUP(1200*(1-$F$3),2)</f>
        <v>1200</v>
      </c>
      <c r="Q152" s="1" t="s">
        <v>49</v>
      </c>
      <c r="R152" s="1" t="s">
        <v>1033</v>
      </c>
      <c r="S152" s="1" t="s">
        <v>1034</v>
      </c>
      <c r="T152" s="9">
        <v>10</v>
      </c>
      <c r="U152" s="1">
        <f>ROUNDUP(1090.91*(1-$F$3),2)</f>
        <v>1090.9100000000001</v>
      </c>
      <c r="V152" s="1">
        <v>371</v>
      </c>
      <c r="Y152" s="1" t="s">
        <v>1035</v>
      </c>
      <c r="Z152" s="1" t="s">
        <v>53</v>
      </c>
      <c r="AA152" s="12">
        <v>45109</v>
      </c>
      <c r="AB152" s="1" t="s">
        <v>66</v>
      </c>
      <c r="AC152" s="1" t="s">
        <v>67</v>
      </c>
      <c r="AD152" s="1" t="s">
        <v>180</v>
      </c>
      <c r="AE152" s="1" t="s">
        <v>69</v>
      </c>
      <c r="AG152" s="1">
        <v>10945370</v>
      </c>
    </row>
    <row r="153" spans="3:33" s="1" customFormat="1" x14ac:dyDescent="0.25">
      <c r="C153" s="1" t="s">
        <v>1036</v>
      </c>
      <c r="D153" s="1" t="s">
        <v>1012</v>
      </c>
      <c r="E153" s="1" t="s">
        <v>1037</v>
      </c>
      <c r="F153" s="13" t="s">
        <v>6952</v>
      </c>
      <c r="G153" s="1" t="s">
        <v>1038</v>
      </c>
      <c r="H153" s="1" t="s">
        <v>160</v>
      </c>
      <c r="I153" s="1">
        <v>336</v>
      </c>
      <c r="J153" s="1" t="s">
        <v>46</v>
      </c>
      <c r="M153" s="1" t="s">
        <v>756</v>
      </c>
      <c r="N153" s="1" t="s">
        <v>48</v>
      </c>
      <c r="O153" s="9">
        <v>8</v>
      </c>
      <c r="P153" s="1">
        <f>ROUNDUP(1180*(1-$F$3),2)</f>
        <v>1180</v>
      </c>
      <c r="Q153" s="1" t="s">
        <v>49</v>
      </c>
      <c r="R153" s="1" t="s">
        <v>1039</v>
      </c>
      <c r="S153" s="1" t="s">
        <v>1040</v>
      </c>
      <c r="T153" s="9">
        <v>10</v>
      </c>
      <c r="U153" s="1">
        <f>ROUNDUP(1072.73*(1-$F$3),2)</f>
        <v>1072.73</v>
      </c>
      <c r="V153" s="1">
        <v>383</v>
      </c>
      <c r="Y153" s="1" t="s">
        <v>1041</v>
      </c>
      <c r="Z153" s="1" t="s">
        <v>53</v>
      </c>
      <c r="AA153" s="12">
        <v>44522</v>
      </c>
      <c r="AB153" s="1" t="s">
        <v>66</v>
      </c>
      <c r="AC153" s="1" t="s">
        <v>143</v>
      </c>
      <c r="AD153" s="1" t="s">
        <v>144</v>
      </c>
      <c r="AE153" s="1" t="s">
        <v>69</v>
      </c>
      <c r="AG153" s="1">
        <v>9861510</v>
      </c>
    </row>
    <row r="154" spans="3:33" s="1" customFormat="1" x14ac:dyDescent="0.25">
      <c r="C154" s="1" t="s">
        <v>1042</v>
      </c>
      <c r="D154" s="1" t="s">
        <v>1012</v>
      </c>
      <c r="E154" s="1" t="s">
        <v>1043</v>
      </c>
      <c r="F154" s="13" t="s">
        <v>6952</v>
      </c>
      <c r="G154" s="1" t="s">
        <v>1026</v>
      </c>
      <c r="H154" s="1" t="s">
        <v>160</v>
      </c>
      <c r="I154" s="1">
        <v>272</v>
      </c>
      <c r="J154" s="1" t="s">
        <v>46</v>
      </c>
      <c r="M154" s="1" t="s">
        <v>756</v>
      </c>
      <c r="N154" s="1" t="s">
        <v>48</v>
      </c>
      <c r="O154" s="9">
        <v>12</v>
      </c>
      <c r="P154" s="1">
        <f>ROUNDUP(940*(1-$F$3),2)</f>
        <v>940</v>
      </c>
      <c r="Q154" s="1" t="s">
        <v>49</v>
      </c>
      <c r="R154" s="1" t="s">
        <v>1044</v>
      </c>
      <c r="S154" s="1" t="s">
        <v>1045</v>
      </c>
      <c r="T154" s="9">
        <v>10</v>
      </c>
      <c r="U154" s="1">
        <f>ROUNDUP(854.55*(1-$F$3),2)</f>
        <v>854.55</v>
      </c>
      <c r="V154" s="1">
        <v>318</v>
      </c>
      <c r="Y154" s="1" t="s">
        <v>1046</v>
      </c>
      <c r="Z154" s="1" t="s">
        <v>53</v>
      </c>
      <c r="AA154" s="12">
        <v>44515</v>
      </c>
      <c r="AB154" s="1" t="s">
        <v>66</v>
      </c>
      <c r="AC154" s="1" t="s">
        <v>67</v>
      </c>
      <c r="AD154" s="1" t="s">
        <v>670</v>
      </c>
      <c r="AE154" s="1" t="s">
        <v>69</v>
      </c>
      <c r="AG154" s="1">
        <v>9859790</v>
      </c>
    </row>
    <row r="155" spans="3:33" s="1" customFormat="1" x14ac:dyDescent="0.25">
      <c r="C155" s="1" t="s">
        <v>1047</v>
      </c>
      <c r="D155" s="1" t="s">
        <v>1012</v>
      </c>
      <c r="E155" s="1" t="s">
        <v>1048</v>
      </c>
      <c r="F155" s="13" t="s">
        <v>6952</v>
      </c>
      <c r="G155" s="1" t="s">
        <v>1032</v>
      </c>
      <c r="H155" s="1" t="s">
        <v>160</v>
      </c>
      <c r="I155" s="1">
        <v>352</v>
      </c>
      <c r="J155" s="1" t="s">
        <v>46</v>
      </c>
      <c r="M155" s="1" t="s">
        <v>176</v>
      </c>
      <c r="N155" s="1" t="s">
        <v>48</v>
      </c>
      <c r="O155" s="9">
        <v>12</v>
      </c>
      <c r="P155" s="1">
        <f>ROUNDUP(1170*(1-$F$3),2)</f>
        <v>1170</v>
      </c>
      <c r="Q155" s="1" t="s">
        <v>49</v>
      </c>
      <c r="R155" s="1" t="s">
        <v>1049</v>
      </c>
      <c r="S155" s="1" t="s">
        <v>1050</v>
      </c>
      <c r="T155" s="9">
        <v>10</v>
      </c>
      <c r="U155" s="1">
        <f>ROUNDUP(1063.64*(1-$F$3),2)</f>
        <v>1063.6400000000001</v>
      </c>
      <c r="V155" s="1">
        <v>394</v>
      </c>
      <c r="Y155" s="1" t="s">
        <v>1051</v>
      </c>
      <c r="Z155" s="1" t="s">
        <v>53</v>
      </c>
      <c r="AA155" s="12">
        <v>45454</v>
      </c>
      <c r="AB155" s="1" t="s">
        <v>66</v>
      </c>
      <c r="AC155" s="1" t="s">
        <v>67</v>
      </c>
      <c r="AD155" s="1" t="s">
        <v>180</v>
      </c>
      <c r="AE155" s="1" t="s">
        <v>69</v>
      </c>
      <c r="AG155" s="1">
        <v>11375720</v>
      </c>
    </row>
    <row r="156" spans="3:33" s="1" customFormat="1" x14ac:dyDescent="0.25">
      <c r="C156" s="1" t="s">
        <v>1052</v>
      </c>
      <c r="D156" s="1" t="s">
        <v>1012</v>
      </c>
      <c r="E156" s="1" t="s">
        <v>1053</v>
      </c>
      <c r="F156" s="13" t="s">
        <v>6952</v>
      </c>
      <c r="G156" s="1" t="s">
        <v>1038</v>
      </c>
      <c r="H156" s="1" t="s">
        <v>160</v>
      </c>
      <c r="I156" s="1">
        <v>288</v>
      </c>
      <c r="J156" s="1" t="s">
        <v>46</v>
      </c>
      <c r="M156" s="1" t="s">
        <v>47</v>
      </c>
      <c r="N156" s="1" t="s">
        <v>48</v>
      </c>
      <c r="O156" s="9">
        <v>5</v>
      </c>
      <c r="P156" s="1">
        <f>ROUNDUP(1040*(1-$F$3),2)</f>
        <v>1040</v>
      </c>
      <c r="Q156" s="1" t="s">
        <v>49</v>
      </c>
      <c r="R156" s="1" t="s">
        <v>1054</v>
      </c>
      <c r="S156" s="1" t="s">
        <v>1055</v>
      </c>
      <c r="T156" s="9">
        <v>10</v>
      </c>
      <c r="U156" s="1">
        <f>ROUNDUP(945.45*(1-$F$3),2)</f>
        <v>945.45</v>
      </c>
      <c r="V156" s="1">
        <v>305</v>
      </c>
      <c r="Y156" s="1" t="s">
        <v>1056</v>
      </c>
      <c r="Z156" s="1" t="s">
        <v>53</v>
      </c>
      <c r="AA156" s="12">
        <v>44719</v>
      </c>
      <c r="AB156" s="1" t="s">
        <v>66</v>
      </c>
      <c r="AC156" s="1" t="s">
        <v>67</v>
      </c>
      <c r="AD156" s="1" t="s">
        <v>180</v>
      </c>
      <c r="AE156" s="1" t="s">
        <v>69</v>
      </c>
      <c r="AG156" s="1">
        <v>10169150</v>
      </c>
    </row>
    <row r="157" spans="3:33" s="1" customFormat="1" x14ac:dyDescent="0.25">
      <c r="C157" s="1" t="s">
        <v>1057</v>
      </c>
      <c r="D157" s="1" t="s">
        <v>1058</v>
      </c>
      <c r="E157" s="1" t="s">
        <v>1059</v>
      </c>
      <c r="F157" s="13" t="s">
        <v>6952</v>
      </c>
      <c r="G157" s="1" t="s">
        <v>1060</v>
      </c>
      <c r="H157" s="1" t="s">
        <v>61</v>
      </c>
      <c r="I157" s="1">
        <v>216</v>
      </c>
      <c r="J157" s="1" t="s">
        <v>46</v>
      </c>
      <c r="M157" s="1" t="s">
        <v>1061</v>
      </c>
      <c r="N157" s="1" t="s">
        <v>139</v>
      </c>
      <c r="O157" s="9">
        <v>24</v>
      </c>
      <c r="P157" s="1">
        <f>ROUNDUP(880*(1-$F$3),2)</f>
        <v>880</v>
      </c>
      <c r="Q157" s="1" t="s">
        <v>49</v>
      </c>
      <c r="R157" s="1" t="s">
        <v>1062</v>
      </c>
      <c r="S157" s="1" t="s">
        <v>1063</v>
      </c>
      <c r="T157" s="9">
        <v>10</v>
      </c>
      <c r="U157" s="1">
        <f>ROUNDUP(800*(1-$F$3),2)</f>
        <v>800</v>
      </c>
      <c r="V157" s="1">
        <v>224</v>
      </c>
      <c r="Y157" s="1" t="s">
        <v>1064</v>
      </c>
      <c r="Z157" s="1" t="s">
        <v>53</v>
      </c>
      <c r="AA157" s="12">
        <v>43429</v>
      </c>
      <c r="AB157" s="1" t="s">
        <v>219</v>
      </c>
      <c r="AC157" s="1" t="s">
        <v>220</v>
      </c>
      <c r="AD157" s="1" t="s">
        <v>1065</v>
      </c>
      <c r="AE157" s="1" t="s">
        <v>69</v>
      </c>
      <c r="AG157" s="1">
        <v>8828170</v>
      </c>
    </row>
    <row r="158" spans="3:33" s="1" customFormat="1" x14ac:dyDescent="0.25">
      <c r="C158" s="1" t="s">
        <v>1066</v>
      </c>
      <c r="D158" s="1" t="s">
        <v>1067</v>
      </c>
      <c r="E158" s="1" t="s">
        <v>1068</v>
      </c>
      <c r="F158" s="13" t="s">
        <v>6952</v>
      </c>
      <c r="G158" s="1" t="s">
        <v>1069</v>
      </c>
      <c r="H158" s="1" t="s">
        <v>61</v>
      </c>
      <c r="I158" s="1">
        <v>464</v>
      </c>
      <c r="J158" s="1" t="s">
        <v>46</v>
      </c>
      <c r="M158" s="1" t="s">
        <v>47</v>
      </c>
      <c r="N158" s="1" t="s">
        <v>48</v>
      </c>
      <c r="O158" s="9">
        <v>6</v>
      </c>
      <c r="P158" s="1">
        <f>ROUNDUP(940*(1-$F$3),2)</f>
        <v>940</v>
      </c>
      <c r="Q158" s="1" t="s">
        <v>49</v>
      </c>
      <c r="R158" s="1" t="s">
        <v>1070</v>
      </c>
      <c r="S158" s="1" t="s">
        <v>1071</v>
      </c>
      <c r="T158" s="9">
        <v>10</v>
      </c>
      <c r="U158" s="1">
        <f>ROUNDUP(854.55*(1-$F$3),2)</f>
        <v>854.55</v>
      </c>
      <c r="V158" s="1">
        <v>481</v>
      </c>
      <c r="Y158" s="1" t="s">
        <v>1072</v>
      </c>
      <c r="Z158" s="1" t="s">
        <v>53</v>
      </c>
      <c r="AA158" s="12">
        <v>45868</v>
      </c>
      <c r="AB158" s="1" t="s">
        <v>66</v>
      </c>
      <c r="AC158" s="1" t="s">
        <v>491</v>
      </c>
      <c r="AD158" s="1" t="s">
        <v>492</v>
      </c>
      <c r="AE158" s="1" t="s">
        <v>69</v>
      </c>
      <c r="AG158" s="1">
        <v>11800710</v>
      </c>
    </row>
    <row r="159" spans="3:33" s="1" customFormat="1" x14ac:dyDescent="0.25">
      <c r="C159" s="1" t="s">
        <v>1073</v>
      </c>
      <c r="D159" s="1" t="s">
        <v>1074</v>
      </c>
      <c r="E159" s="1" t="s">
        <v>1075</v>
      </c>
      <c r="F159" s="13" t="s">
        <v>6952</v>
      </c>
      <c r="G159" s="1" t="s">
        <v>1076</v>
      </c>
      <c r="H159" s="1" t="s">
        <v>160</v>
      </c>
      <c r="I159" s="1">
        <v>240</v>
      </c>
      <c r="J159" s="1" t="s">
        <v>46</v>
      </c>
      <c r="M159" s="1" t="s">
        <v>169</v>
      </c>
      <c r="N159" s="1" t="s">
        <v>48</v>
      </c>
      <c r="O159" s="9">
        <v>14</v>
      </c>
      <c r="P159" s="1">
        <f>ROUNDUP(1100*(1-$F$3),2)</f>
        <v>1100</v>
      </c>
      <c r="Q159" s="1" t="s">
        <v>49</v>
      </c>
      <c r="R159" s="1" t="s">
        <v>1077</v>
      </c>
      <c r="S159" s="1" t="s">
        <v>1078</v>
      </c>
      <c r="T159" s="9">
        <v>10</v>
      </c>
      <c r="U159" s="1">
        <f>ROUNDUP(1000*(1-$F$3),2)</f>
        <v>1000</v>
      </c>
      <c r="V159" s="1">
        <v>335</v>
      </c>
      <c r="Y159" s="1" t="s">
        <v>1079</v>
      </c>
      <c r="Z159" s="1" t="s">
        <v>53</v>
      </c>
      <c r="AA159" s="12">
        <v>44669</v>
      </c>
      <c r="AB159" s="1" t="s">
        <v>66</v>
      </c>
      <c r="AC159" s="1" t="s">
        <v>67</v>
      </c>
      <c r="AD159" s="1" t="s">
        <v>165</v>
      </c>
      <c r="AE159" s="1" t="s">
        <v>69</v>
      </c>
      <c r="AG159" s="1">
        <v>10040680</v>
      </c>
    </row>
    <row r="160" spans="3:33" s="1" customFormat="1" x14ac:dyDescent="0.25">
      <c r="C160" s="1" t="s">
        <v>1080</v>
      </c>
      <c r="D160" s="1" t="s">
        <v>1074</v>
      </c>
      <c r="E160" s="1" t="s">
        <v>1081</v>
      </c>
      <c r="F160" s="13" t="s">
        <v>6952</v>
      </c>
      <c r="G160" s="1" t="s">
        <v>1082</v>
      </c>
      <c r="H160" s="1" t="s">
        <v>160</v>
      </c>
      <c r="I160" s="1">
        <v>320</v>
      </c>
      <c r="J160" s="1" t="s">
        <v>46</v>
      </c>
      <c r="M160" s="1" t="s">
        <v>176</v>
      </c>
      <c r="N160" s="1" t="s">
        <v>48</v>
      </c>
      <c r="O160" s="9">
        <v>12</v>
      </c>
      <c r="P160" s="1">
        <f>ROUNDUP(1520*(1-$F$3),2)</f>
        <v>1520</v>
      </c>
      <c r="Q160" s="1" t="s">
        <v>49</v>
      </c>
      <c r="R160" s="1" t="s">
        <v>1083</v>
      </c>
      <c r="S160" s="1" t="s">
        <v>1084</v>
      </c>
      <c r="T160" s="9">
        <v>10</v>
      </c>
      <c r="U160" s="1">
        <f>ROUNDUP(1381.82*(1-$F$3),2)</f>
        <v>1381.82</v>
      </c>
      <c r="V160" s="1">
        <v>372</v>
      </c>
      <c r="Y160" s="1" t="s">
        <v>1085</v>
      </c>
      <c r="Z160" s="1" t="s">
        <v>53</v>
      </c>
      <c r="AA160" s="12">
        <v>44693</v>
      </c>
      <c r="AB160" s="1" t="s">
        <v>66</v>
      </c>
      <c r="AC160" s="1" t="s">
        <v>67</v>
      </c>
      <c r="AD160" s="1" t="s">
        <v>165</v>
      </c>
      <c r="AE160" s="1" t="s">
        <v>69</v>
      </c>
      <c r="AG160" s="1">
        <v>10166380</v>
      </c>
    </row>
    <row r="161" spans="3:33" s="1" customFormat="1" x14ac:dyDescent="0.25">
      <c r="C161" s="1" t="s">
        <v>1086</v>
      </c>
      <c r="D161" s="1" t="s">
        <v>1074</v>
      </c>
      <c r="E161" s="1" t="s">
        <v>1087</v>
      </c>
      <c r="F161" s="13" t="s">
        <v>6952</v>
      </c>
      <c r="G161" s="1" t="s">
        <v>1088</v>
      </c>
      <c r="H161" s="1" t="s">
        <v>160</v>
      </c>
      <c r="I161" s="1">
        <v>584</v>
      </c>
      <c r="J161" s="1" t="s">
        <v>46</v>
      </c>
      <c r="M161" s="1" t="s">
        <v>756</v>
      </c>
      <c r="N161" s="1" t="s">
        <v>48</v>
      </c>
      <c r="O161" s="9">
        <v>3</v>
      </c>
      <c r="P161" s="1">
        <f>ROUNDUP(1590*(1-$F$3),2)</f>
        <v>1590</v>
      </c>
      <c r="Q161" s="1" t="s">
        <v>49</v>
      </c>
      <c r="R161" s="1" t="s">
        <v>1089</v>
      </c>
      <c r="S161" s="1" t="s">
        <v>1090</v>
      </c>
      <c r="T161" s="9">
        <v>10</v>
      </c>
      <c r="U161" s="1">
        <f>ROUNDUP(1445.45*(1-$F$3),2)</f>
        <v>1445.45</v>
      </c>
      <c r="V161" s="1">
        <v>608</v>
      </c>
      <c r="Y161" s="1" t="s">
        <v>1091</v>
      </c>
      <c r="Z161" s="1" t="s">
        <v>53</v>
      </c>
      <c r="AA161" s="12">
        <v>44417</v>
      </c>
      <c r="AB161" s="1" t="s">
        <v>66</v>
      </c>
      <c r="AC161" s="1" t="s">
        <v>683</v>
      </c>
      <c r="AD161" s="1" t="s">
        <v>684</v>
      </c>
      <c r="AE161" s="1" t="s">
        <v>69</v>
      </c>
      <c r="AG161" s="1">
        <v>9768900</v>
      </c>
    </row>
    <row r="162" spans="3:33" s="1" customFormat="1" x14ac:dyDescent="0.25">
      <c r="C162" s="1" t="s">
        <v>1092</v>
      </c>
      <c r="D162" s="1" t="s">
        <v>1074</v>
      </c>
      <c r="E162" s="1" t="s">
        <v>1093</v>
      </c>
      <c r="F162" s="13" t="s">
        <v>6952</v>
      </c>
      <c r="G162" s="1" t="s">
        <v>1094</v>
      </c>
      <c r="H162" s="1" t="s">
        <v>160</v>
      </c>
      <c r="I162" s="1">
        <v>304</v>
      </c>
      <c r="J162" s="1" t="s">
        <v>46</v>
      </c>
      <c r="M162" s="1" t="s">
        <v>169</v>
      </c>
      <c r="N162" s="1" t="s">
        <v>48</v>
      </c>
      <c r="O162" s="9">
        <v>5</v>
      </c>
      <c r="P162" s="1">
        <f>ROUNDUP(1060*(1-$F$3),2)</f>
        <v>1060</v>
      </c>
      <c r="Q162" s="1" t="s">
        <v>49</v>
      </c>
      <c r="R162" s="1" t="s">
        <v>1095</v>
      </c>
      <c r="S162" s="1" t="s">
        <v>1096</v>
      </c>
      <c r="T162" s="9">
        <v>10</v>
      </c>
      <c r="U162" s="1">
        <f>ROUNDUP(963.64*(1-$F$3),2)</f>
        <v>963.64</v>
      </c>
      <c r="V162" s="1">
        <v>354</v>
      </c>
      <c r="Y162" s="1" t="s">
        <v>1097</v>
      </c>
      <c r="Z162" s="1" t="s">
        <v>53</v>
      </c>
      <c r="AA162" s="12">
        <v>44445</v>
      </c>
      <c r="AB162" s="1" t="s">
        <v>66</v>
      </c>
      <c r="AC162" s="1" t="s">
        <v>143</v>
      </c>
      <c r="AD162" s="1" t="s">
        <v>144</v>
      </c>
      <c r="AE162" s="1" t="s">
        <v>69</v>
      </c>
      <c r="AG162" s="1">
        <v>9797710</v>
      </c>
    </row>
    <row r="163" spans="3:33" s="1" customFormat="1" x14ac:dyDescent="0.25">
      <c r="C163" s="1" t="s">
        <v>1098</v>
      </c>
      <c r="D163" s="1" t="s">
        <v>1074</v>
      </c>
      <c r="E163" s="1" t="s">
        <v>1099</v>
      </c>
      <c r="F163" s="13" t="s">
        <v>6952</v>
      </c>
      <c r="G163" s="1" t="s">
        <v>1100</v>
      </c>
      <c r="H163" s="1" t="s">
        <v>160</v>
      </c>
      <c r="I163" s="1">
        <v>1020</v>
      </c>
      <c r="J163" s="1" t="s">
        <v>46</v>
      </c>
      <c r="M163" s="1" t="s">
        <v>176</v>
      </c>
      <c r="N163" s="1" t="s">
        <v>48</v>
      </c>
      <c r="O163" s="9"/>
      <c r="P163" s="1">
        <f>ROUNDUP(3050*(1-$F$3),2)</f>
        <v>3050</v>
      </c>
      <c r="Q163" s="1" t="s">
        <v>49</v>
      </c>
      <c r="R163" s="1" t="s">
        <v>1101</v>
      </c>
      <c r="S163" s="1" t="s">
        <v>1102</v>
      </c>
      <c r="T163" s="9">
        <v>22</v>
      </c>
      <c r="U163" s="1">
        <f>ROUNDUP(2500*(1-$F$3),2)</f>
        <v>2500</v>
      </c>
      <c r="V163" s="1">
        <v>1091</v>
      </c>
      <c r="Y163" s="1" t="s">
        <v>1103</v>
      </c>
      <c r="Z163" s="1" t="s">
        <v>76</v>
      </c>
      <c r="AA163" s="12">
        <v>45706</v>
      </c>
      <c r="AB163" s="1" t="s">
        <v>66</v>
      </c>
      <c r="AC163" s="1" t="s">
        <v>67</v>
      </c>
      <c r="AD163" s="1" t="s">
        <v>165</v>
      </c>
      <c r="AE163" s="1" t="s">
        <v>69</v>
      </c>
      <c r="AG163" s="1">
        <v>11663740</v>
      </c>
    </row>
    <row r="164" spans="3:33" s="1" customFormat="1" x14ac:dyDescent="0.25">
      <c r="C164" s="1" t="s">
        <v>1104</v>
      </c>
      <c r="D164" s="1" t="s">
        <v>1074</v>
      </c>
      <c r="E164" s="1" t="s">
        <v>1105</v>
      </c>
      <c r="F164" s="13" t="s">
        <v>6952</v>
      </c>
      <c r="G164" s="1" t="s">
        <v>1106</v>
      </c>
      <c r="H164" s="1" t="s">
        <v>160</v>
      </c>
      <c r="I164" s="1">
        <v>272</v>
      </c>
      <c r="J164" s="1" t="s">
        <v>46</v>
      </c>
      <c r="M164" s="1" t="s">
        <v>169</v>
      </c>
      <c r="N164" s="1" t="s">
        <v>48</v>
      </c>
      <c r="O164" s="9">
        <v>12</v>
      </c>
      <c r="P164" s="1">
        <f>ROUNDUP(1020*(1-$F$3),2)</f>
        <v>1020</v>
      </c>
      <c r="Q164" s="1" t="s">
        <v>49</v>
      </c>
      <c r="R164" s="1" t="s">
        <v>1107</v>
      </c>
      <c r="S164" s="1" t="s">
        <v>1108</v>
      </c>
      <c r="T164" s="9">
        <v>10</v>
      </c>
      <c r="U164" s="1">
        <f>ROUNDUP(927.27*(1-$F$3),2)</f>
        <v>927.27</v>
      </c>
      <c r="V164" s="1">
        <v>319</v>
      </c>
      <c r="Y164" s="1" t="s">
        <v>1109</v>
      </c>
      <c r="Z164" s="1" t="s">
        <v>53</v>
      </c>
      <c r="AA164" s="12">
        <v>44543</v>
      </c>
      <c r="AB164" s="1" t="s">
        <v>66</v>
      </c>
      <c r="AC164" s="1" t="s">
        <v>67</v>
      </c>
      <c r="AD164" s="1" t="s">
        <v>165</v>
      </c>
      <c r="AE164" s="1" t="s">
        <v>69</v>
      </c>
      <c r="AG164" s="1">
        <v>9972730</v>
      </c>
    </row>
    <row r="165" spans="3:33" s="1" customFormat="1" x14ac:dyDescent="0.25">
      <c r="C165" s="1" t="s">
        <v>1110</v>
      </c>
      <c r="D165" s="1" t="s">
        <v>1074</v>
      </c>
      <c r="E165" s="1" t="s">
        <v>1111</v>
      </c>
      <c r="F165" s="13" t="s">
        <v>6952</v>
      </c>
      <c r="G165" s="1" t="s">
        <v>1112</v>
      </c>
      <c r="H165" s="1" t="s">
        <v>160</v>
      </c>
      <c r="I165" s="1">
        <v>460</v>
      </c>
      <c r="J165" s="1" t="s">
        <v>46</v>
      </c>
      <c r="M165" s="1" t="s">
        <v>161</v>
      </c>
      <c r="N165" s="1" t="s">
        <v>48</v>
      </c>
      <c r="O165" s="9">
        <v>8</v>
      </c>
      <c r="P165" s="1">
        <f>ROUNDUP(1550*(1-$F$3),2)</f>
        <v>1550</v>
      </c>
      <c r="Q165" s="1" t="s">
        <v>49</v>
      </c>
      <c r="R165" s="1" t="s">
        <v>1113</v>
      </c>
      <c r="S165" s="1" t="s">
        <v>1114</v>
      </c>
      <c r="T165" s="9">
        <v>22</v>
      </c>
      <c r="U165" s="1">
        <f>ROUNDUP(1270.49*(1-$F$3),2)</f>
        <v>1270.49</v>
      </c>
      <c r="V165" s="1">
        <v>484</v>
      </c>
      <c r="Y165" s="1" t="s">
        <v>1115</v>
      </c>
      <c r="Z165" s="1" t="s">
        <v>76</v>
      </c>
      <c r="AA165" s="12">
        <v>44839</v>
      </c>
      <c r="AB165" s="1" t="s">
        <v>66</v>
      </c>
      <c r="AC165" s="1" t="s">
        <v>67</v>
      </c>
      <c r="AD165" s="1" t="s">
        <v>165</v>
      </c>
      <c r="AE165" s="1" t="s">
        <v>69</v>
      </c>
      <c r="AG165" s="1">
        <v>10664790</v>
      </c>
    </row>
    <row r="166" spans="3:33" s="1" customFormat="1" x14ac:dyDescent="0.25">
      <c r="C166" s="1" t="s">
        <v>1116</v>
      </c>
      <c r="D166" s="1" t="s">
        <v>1074</v>
      </c>
      <c r="E166" s="1" t="s">
        <v>1117</v>
      </c>
      <c r="F166" s="13" t="s">
        <v>6952</v>
      </c>
      <c r="G166" s="1" t="s">
        <v>1118</v>
      </c>
      <c r="H166" s="1" t="s">
        <v>160</v>
      </c>
      <c r="I166" s="1">
        <v>352</v>
      </c>
      <c r="J166" s="1" t="s">
        <v>46</v>
      </c>
      <c r="M166" s="1" t="s">
        <v>169</v>
      </c>
      <c r="N166" s="1" t="s">
        <v>48</v>
      </c>
      <c r="O166" s="9">
        <v>10</v>
      </c>
      <c r="P166" s="1">
        <f>ROUNDUP(1090*(1-$F$3),2)</f>
        <v>1090</v>
      </c>
      <c r="Q166" s="1" t="s">
        <v>49</v>
      </c>
      <c r="R166" s="1" t="s">
        <v>1119</v>
      </c>
      <c r="S166" s="1" t="s">
        <v>1120</v>
      </c>
      <c r="T166" s="9">
        <v>10</v>
      </c>
      <c r="U166" s="1">
        <f>ROUNDUP(990.91*(1-$F$3),2)</f>
        <v>990.91</v>
      </c>
      <c r="V166" s="1">
        <v>392</v>
      </c>
      <c r="Y166" s="1" t="s">
        <v>1121</v>
      </c>
      <c r="Z166" s="1" t="s">
        <v>53</v>
      </c>
      <c r="AA166" s="12">
        <v>44600</v>
      </c>
      <c r="AB166" s="1" t="s">
        <v>66</v>
      </c>
      <c r="AC166" s="1" t="s">
        <v>120</v>
      </c>
      <c r="AD166" s="1" t="s">
        <v>121</v>
      </c>
      <c r="AE166" s="1" t="s">
        <v>69</v>
      </c>
      <c r="AG166" s="1">
        <v>10012060</v>
      </c>
    </row>
    <row r="167" spans="3:33" s="1" customFormat="1" x14ac:dyDescent="0.25">
      <c r="C167" s="1" t="s">
        <v>1122</v>
      </c>
      <c r="D167" s="1" t="s">
        <v>1074</v>
      </c>
      <c r="E167" s="1" t="s">
        <v>1123</v>
      </c>
      <c r="F167" s="13" t="s">
        <v>6952</v>
      </c>
      <c r="G167" s="1" t="s">
        <v>1106</v>
      </c>
      <c r="H167" s="1" t="s">
        <v>160</v>
      </c>
      <c r="I167" s="1">
        <v>304</v>
      </c>
      <c r="J167" s="1" t="s">
        <v>46</v>
      </c>
      <c r="M167" s="1" t="s">
        <v>756</v>
      </c>
      <c r="N167" s="1" t="s">
        <v>48</v>
      </c>
      <c r="O167" s="9">
        <v>10</v>
      </c>
      <c r="P167" s="1">
        <f>ROUNDUP(1020*(1-$F$3),2)</f>
        <v>1020</v>
      </c>
      <c r="Q167" s="1" t="s">
        <v>49</v>
      </c>
      <c r="R167" s="1" t="s">
        <v>1124</v>
      </c>
      <c r="S167" s="1" t="s">
        <v>1125</v>
      </c>
      <c r="T167" s="9">
        <v>10</v>
      </c>
      <c r="U167" s="1">
        <f>ROUNDUP(927.27*(1-$F$3),2)</f>
        <v>927.27</v>
      </c>
      <c r="V167" s="1">
        <v>345</v>
      </c>
      <c r="Y167" s="1" t="s">
        <v>1126</v>
      </c>
      <c r="Z167" s="1" t="s">
        <v>53</v>
      </c>
      <c r="AA167" s="12">
        <v>44445</v>
      </c>
      <c r="AB167" s="1" t="s">
        <v>66</v>
      </c>
      <c r="AC167" s="1" t="s">
        <v>67</v>
      </c>
      <c r="AD167" s="1" t="s">
        <v>68</v>
      </c>
      <c r="AE167" s="1" t="s">
        <v>69</v>
      </c>
      <c r="AG167" s="1">
        <v>9797020</v>
      </c>
    </row>
    <row r="168" spans="3:33" s="1" customFormat="1" x14ac:dyDescent="0.25">
      <c r="C168" s="1" t="s">
        <v>1127</v>
      </c>
      <c r="D168" s="1" t="s">
        <v>1074</v>
      </c>
      <c r="E168" s="1" t="s">
        <v>1128</v>
      </c>
      <c r="F168" s="13" t="s">
        <v>6952</v>
      </c>
      <c r="G168" s="1" t="s">
        <v>1129</v>
      </c>
      <c r="H168" s="1" t="s">
        <v>160</v>
      </c>
      <c r="I168" s="1">
        <v>400</v>
      </c>
      <c r="J168" s="1" t="s">
        <v>46</v>
      </c>
      <c r="M168" s="1" t="s">
        <v>756</v>
      </c>
      <c r="N168" s="1" t="s">
        <v>48</v>
      </c>
      <c r="O168" s="9">
        <v>8</v>
      </c>
      <c r="P168" s="1">
        <f>ROUNDUP(1150*(1-$F$3),2)</f>
        <v>1150</v>
      </c>
      <c r="Q168" s="1" t="s">
        <v>49</v>
      </c>
      <c r="R168" s="1" t="s">
        <v>1130</v>
      </c>
      <c r="S168" s="1" t="s">
        <v>1131</v>
      </c>
      <c r="T168" s="9">
        <v>10</v>
      </c>
      <c r="U168" s="1">
        <f>ROUNDUP(1045.45*(1-$F$3),2)</f>
        <v>1045.45</v>
      </c>
      <c r="V168" s="1">
        <v>421</v>
      </c>
      <c r="Y168" s="1" t="s">
        <v>1132</v>
      </c>
      <c r="Z168" s="1" t="s">
        <v>53</v>
      </c>
      <c r="AA168" s="12">
        <v>44496</v>
      </c>
      <c r="AB168" s="1" t="s">
        <v>66</v>
      </c>
      <c r="AC168" s="1" t="s">
        <v>67</v>
      </c>
      <c r="AD168" s="1" t="s">
        <v>670</v>
      </c>
      <c r="AE168" s="1" t="s">
        <v>69</v>
      </c>
      <c r="AG168" s="1">
        <v>9855130</v>
      </c>
    </row>
    <row r="169" spans="3:33" s="1" customFormat="1" x14ac:dyDescent="0.25">
      <c r="C169" s="1" t="s">
        <v>1133</v>
      </c>
      <c r="D169" s="1" t="s">
        <v>1074</v>
      </c>
      <c r="E169" s="1" t="s">
        <v>1134</v>
      </c>
      <c r="F169" s="13" t="s">
        <v>6952</v>
      </c>
      <c r="G169" s="1" t="s">
        <v>1135</v>
      </c>
      <c r="H169" s="1" t="s">
        <v>160</v>
      </c>
      <c r="I169" s="1">
        <v>320</v>
      </c>
      <c r="J169" s="1" t="s">
        <v>46</v>
      </c>
      <c r="M169" s="1" t="s">
        <v>169</v>
      </c>
      <c r="N169" s="1" t="s">
        <v>48</v>
      </c>
      <c r="O169" s="9">
        <v>14</v>
      </c>
      <c r="P169" s="1">
        <f>ROUNDUP(1010*(1-$F$3),2)</f>
        <v>1010</v>
      </c>
      <c r="Q169" s="1" t="s">
        <v>49</v>
      </c>
      <c r="R169" s="1" t="s">
        <v>1136</v>
      </c>
      <c r="S169" s="1" t="s">
        <v>1137</v>
      </c>
      <c r="T169" s="9">
        <v>10</v>
      </c>
      <c r="U169" s="1">
        <f>ROUNDUP(918.18*(1-$F$3),2)</f>
        <v>918.18</v>
      </c>
      <c r="V169" s="1">
        <v>337</v>
      </c>
      <c r="Y169" s="1" t="s">
        <v>1138</v>
      </c>
      <c r="Z169" s="1" t="s">
        <v>53</v>
      </c>
      <c r="AA169" s="12">
        <v>44445</v>
      </c>
      <c r="AB169" s="1" t="s">
        <v>66</v>
      </c>
      <c r="AC169" s="1" t="s">
        <v>67</v>
      </c>
      <c r="AD169" s="1" t="s">
        <v>670</v>
      </c>
      <c r="AE169" s="1" t="s">
        <v>69</v>
      </c>
      <c r="AG169" s="1">
        <v>9797220</v>
      </c>
    </row>
    <row r="170" spans="3:33" s="1" customFormat="1" x14ac:dyDescent="0.25">
      <c r="C170" s="1" t="s">
        <v>1139</v>
      </c>
      <c r="D170" s="1" t="s">
        <v>1074</v>
      </c>
      <c r="E170" s="1" t="s">
        <v>1140</v>
      </c>
      <c r="F170" s="13" t="s">
        <v>6952</v>
      </c>
      <c r="G170" s="1" t="s">
        <v>1141</v>
      </c>
      <c r="H170" s="1" t="s">
        <v>160</v>
      </c>
      <c r="I170" s="1">
        <v>336</v>
      </c>
      <c r="J170" s="1" t="s">
        <v>46</v>
      </c>
      <c r="M170" s="1" t="s">
        <v>169</v>
      </c>
      <c r="N170" s="1" t="s">
        <v>48</v>
      </c>
      <c r="O170" s="9">
        <v>10</v>
      </c>
      <c r="P170" s="1">
        <f>ROUNDUP(1060*(1-$F$3),2)</f>
        <v>1060</v>
      </c>
      <c r="Q170" s="1" t="s">
        <v>49</v>
      </c>
      <c r="R170" s="1" t="s">
        <v>1142</v>
      </c>
      <c r="S170" s="1" t="s">
        <v>1143</v>
      </c>
      <c r="T170" s="9">
        <v>10</v>
      </c>
      <c r="U170" s="1">
        <f>ROUNDUP(963.64*(1-$F$3),2)</f>
        <v>963.64</v>
      </c>
      <c r="V170" s="1">
        <v>429</v>
      </c>
      <c r="Y170" s="1" t="s">
        <v>1144</v>
      </c>
      <c r="Z170" s="1" t="s">
        <v>53</v>
      </c>
      <c r="AA170" s="12">
        <v>44784</v>
      </c>
      <c r="AB170" s="1" t="s">
        <v>66</v>
      </c>
      <c r="AC170" s="1" t="s">
        <v>67</v>
      </c>
      <c r="AD170" s="1" t="s">
        <v>165</v>
      </c>
      <c r="AE170" s="1" t="s">
        <v>69</v>
      </c>
      <c r="AG170" s="1">
        <v>10479590</v>
      </c>
    </row>
    <row r="171" spans="3:33" s="1" customFormat="1" x14ac:dyDescent="0.25">
      <c r="C171" s="1" t="s">
        <v>1145</v>
      </c>
      <c r="D171" s="1" t="s">
        <v>1074</v>
      </c>
      <c r="E171" s="1" t="s">
        <v>1146</v>
      </c>
      <c r="F171" s="13" t="s">
        <v>6952</v>
      </c>
      <c r="G171" s="1" t="s">
        <v>1141</v>
      </c>
      <c r="H171" s="1" t="s">
        <v>160</v>
      </c>
      <c r="I171" s="1">
        <v>1152</v>
      </c>
      <c r="J171" s="1" t="s">
        <v>46</v>
      </c>
      <c r="M171" s="1" t="s">
        <v>161</v>
      </c>
      <c r="N171" s="1" t="s">
        <v>48</v>
      </c>
      <c r="O171" s="9"/>
      <c r="P171" s="1">
        <f>ROUNDUP(3090*(1-$F$3),2)</f>
        <v>3090</v>
      </c>
      <c r="Q171" s="1" t="s">
        <v>49</v>
      </c>
      <c r="R171" s="1" t="s">
        <v>1147</v>
      </c>
      <c r="S171" s="1" t="s">
        <v>1148</v>
      </c>
      <c r="T171" s="9">
        <v>10</v>
      </c>
      <c r="U171" s="1">
        <f>ROUNDUP(2809.09*(1-$F$3),2)</f>
        <v>2809.09</v>
      </c>
      <c r="V171" s="1">
        <v>1341</v>
      </c>
      <c r="Y171" s="1" t="s">
        <v>1149</v>
      </c>
      <c r="Z171" s="1" t="s">
        <v>53</v>
      </c>
      <c r="AA171" s="12">
        <v>45706</v>
      </c>
      <c r="AB171" s="1" t="s">
        <v>66</v>
      </c>
      <c r="AC171" s="1" t="s">
        <v>67</v>
      </c>
      <c r="AD171" s="1" t="s">
        <v>165</v>
      </c>
      <c r="AE171" s="1" t="s">
        <v>69</v>
      </c>
      <c r="AG171" s="1">
        <v>11664310</v>
      </c>
    </row>
    <row r="172" spans="3:33" s="1" customFormat="1" x14ac:dyDescent="0.25">
      <c r="C172" s="1" t="s">
        <v>1150</v>
      </c>
      <c r="D172" s="1" t="s">
        <v>1074</v>
      </c>
      <c r="E172" s="1" t="s">
        <v>1151</v>
      </c>
      <c r="F172" s="13" t="s">
        <v>6952</v>
      </c>
      <c r="G172" s="1" t="s">
        <v>1112</v>
      </c>
      <c r="H172" s="1" t="s">
        <v>160</v>
      </c>
      <c r="I172" s="1">
        <v>448</v>
      </c>
      <c r="J172" s="1" t="s">
        <v>46</v>
      </c>
      <c r="M172" s="1" t="s">
        <v>161</v>
      </c>
      <c r="N172" s="1" t="s">
        <v>48</v>
      </c>
      <c r="O172" s="9">
        <v>10</v>
      </c>
      <c r="P172" s="1">
        <f>ROUNDUP(1400*(1-$F$3),2)</f>
        <v>1400</v>
      </c>
      <c r="Q172" s="1" t="s">
        <v>49</v>
      </c>
      <c r="R172" s="1" t="s">
        <v>1152</v>
      </c>
      <c r="S172" s="1" t="s">
        <v>1153</v>
      </c>
      <c r="T172" s="9">
        <v>10</v>
      </c>
      <c r="U172" s="1">
        <f>ROUNDUP(1272.73*(1-$F$3),2)</f>
        <v>1272.73</v>
      </c>
      <c r="V172" s="1">
        <v>471</v>
      </c>
      <c r="Y172" s="1" t="s">
        <v>1154</v>
      </c>
      <c r="Z172" s="1" t="s">
        <v>76</v>
      </c>
      <c r="AA172" s="12">
        <v>44732</v>
      </c>
      <c r="AB172" s="1" t="s">
        <v>66</v>
      </c>
      <c r="AC172" s="1" t="s">
        <v>67</v>
      </c>
      <c r="AD172" s="1" t="s">
        <v>165</v>
      </c>
      <c r="AE172" s="1" t="s">
        <v>69</v>
      </c>
      <c r="AG172" s="1">
        <v>10238960</v>
      </c>
    </row>
    <row r="173" spans="3:33" s="1" customFormat="1" x14ac:dyDescent="0.25">
      <c r="C173" s="1" t="s">
        <v>1155</v>
      </c>
      <c r="D173" s="1" t="s">
        <v>1074</v>
      </c>
      <c r="E173" s="1" t="s">
        <v>1156</v>
      </c>
      <c r="F173" s="13" t="s">
        <v>6952</v>
      </c>
      <c r="G173" s="1" t="s">
        <v>1141</v>
      </c>
      <c r="H173" s="1" t="s">
        <v>160</v>
      </c>
      <c r="I173" s="1">
        <v>416</v>
      </c>
      <c r="J173" s="1" t="s">
        <v>46</v>
      </c>
      <c r="M173" s="1" t="s">
        <v>161</v>
      </c>
      <c r="N173" s="1" t="s">
        <v>48</v>
      </c>
      <c r="O173" s="9">
        <v>6</v>
      </c>
      <c r="P173" s="1">
        <f>ROUNDUP(1260*(1-$F$3),2)</f>
        <v>1260</v>
      </c>
      <c r="Q173" s="1" t="s">
        <v>49</v>
      </c>
      <c r="R173" s="1" t="s">
        <v>1157</v>
      </c>
      <c r="S173" s="1" t="s">
        <v>1158</v>
      </c>
      <c r="T173" s="9">
        <v>10</v>
      </c>
      <c r="U173" s="1">
        <f>ROUNDUP(1145.45*(1-$F$3),2)</f>
        <v>1145.45</v>
      </c>
      <c r="V173" s="1">
        <v>419</v>
      </c>
      <c r="Y173" s="1" t="s">
        <v>1159</v>
      </c>
      <c r="Z173" s="1" t="s">
        <v>53</v>
      </c>
      <c r="AA173" s="12">
        <v>45109</v>
      </c>
      <c r="AB173" s="1" t="s">
        <v>66</v>
      </c>
      <c r="AC173" s="1" t="s">
        <v>67</v>
      </c>
      <c r="AD173" s="1" t="s">
        <v>165</v>
      </c>
      <c r="AE173" s="1" t="s">
        <v>69</v>
      </c>
      <c r="AG173" s="1">
        <v>10945330</v>
      </c>
    </row>
    <row r="174" spans="3:33" s="1" customFormat="1" x14ac:dyDescent="0.25">
      <c r="C174" s="1" t="s">
        <v>1160</v>
      </c>
      <c r="D174" s="1" t="s">
        <v>1074</v>
      </c>
      <c r="E174" s="1" t="s">
        <v>1161</v>
      </c>
      <c r="F174" s="13" t="s">
        <v>6952</v>
      </c>
      <c r="G174" s="1" t="s">
        <v>1118</v>
      </c>
      <c r="H174" s="1" t="s">
        <v>160</v>
      </c>
      <c r="I174" s="1">
        <v>384</v>
      </c>
      <c r="J174" s="1" t="s">
        <v>46</v>
      </c>
      <c r="M174" s="1" t="s">
        <v>756</v>
      </c>
      <c r="N174" s="1" t="s">
        <v>48</v>
      </c>
      <c r="O174" s="9">
        <v>5</v>
      </c>
      <c r="P174" s="1">
        <f>ROUNDUP(1640*(1-$F$3),2)</f>
        <v>1640</v>
      </c>
      <c r="Q174" s="1" t="s">
        <v>49</v>
      </c>
      <c r="R174" s="1" t="s">
        <v>1162</v>
      </c>
      <c r="S174" s="1" t="s">
        <v>1163</v>
      </c>
      <c r="T174" s="9">
        <v>10</v>
      </c>
      <c r="U174" s="1">
        <f>ROUNDUP(1490.91*(1-$F$3),2)</f>
        <v>1490.91</v>
      </c>
      <c r="V174" s="1">
        <v>408</v>
      </c>
      <c r="Y174" s="1" t="s">
        <v>1164</v>
      </c>
      <c r="Z174" s="1" t="s">
        <v>53</v>
      </c>
      <c r="AA174" s="12">
        <v>44396</v>
      </c>
      <c r="AB174" s="1" t="s">
        <v>66</v>
      </c>
      <c r="AC174" s="1" t="s">
        <v>120</v>
      </c>
      <c r="AD174" s="1" t="s">
        <v>121</v>
      </c>
      <c r="AE174" s="1" t="s">
        <v>69</v>
      </c>
      <c r="AG174" s="1">
        <v>9733710</v>
      </c>
    </row>
    <row r="175" spans="3:33" s="1" customFormat="1" x14ac:dyDescent="0.25">
      <c r="C175" s="1" t="s">
        <v>1165</v>
      </c>
      <c r="D175" s="1" t="s">
        <v>1074</v>
      </c>
      <c r="E175" s="1" t="s">
        <v>1166</v>
      </c>
      <c r="F175" s="13" t="s">
        <v>6952</v>
      </c>
      <c r="G175" s="1" t="s">
        <v>1167</v>
      </c>
      <c r="H175" s="1" t="s">
        <v>160</v>
      </c>
      <c r="I175" s="1">
        <v>1360</v>
      </c>
      <c r="J175" s="1" t="s">
        <v>46</v>
      </c>
      <c r="M175" s="1" t="s">
        <v>47</v>
      </c>
      <c r="N175" s="1" t="s">
        <v>48</v>
      </c>
      <c r="O175" s="9"/>
      <c r="P175" s="1">
        <f>ROUNDUP(3200*(1-$F$3),2)</f>
        <v>3200</v>
      </c>
      <c r="Q175" s="1" t="s">
        <v>49</v>
      </c>
      <c r="R175" s="1" t="s">
        <v>1168</v>
      </c>
      <c r="S175" s="1" t="s">
        <v>1169</v>
      </c>
      <c r="T175" s="9">
        <v>10</v>
      </c>
      <c r="U175" s="1">
        <f>ROUNDUP(2909.09*(1-$F$3),2)</f>
        <v>2909.09</v>
      </c>
      <c r="V175" s="1">
        <v>1373</v>
      </c>
      <c r="Y175" s="1" t="s">
        <v>1170</v>
      </c>
      <c r="Z175" s="1" t="s">
        <v>53</v>
      </c>
      <c r="AA175" s="12">
        <v>45706</v>
      </c>
      <c r="AB175" s="1" t="s">
        <v>66</v>
      </c>
      <c r="AC175" s="1" t="s">
        <v>67</v>
      </c>
      <c r="AD175" s="1" t="s">
        <v>165</v>
      </c>
      <c r="AE175" s="1" t="s">
        <v>69</v>
      </c>
      <c r="AG175" s="1">
        <v>11663950</v>
      </c>
    </row>
    <row r="176" spans="3:33" s="1" customFormat="1" x14ac:dyDescent="0.25">
      <c r="C176" s="1" t="s">
        <v>1171</v>
      </c>
      <c r="D176" s="1" t="s">
        <v>1074</v>
      </c>
      <c r="E176" s="1" t="s">
        <v>1172</v>
      </c>
      <c r="F176" s="13" t="s">
        <v>6952</v>
      </c>
      <c r="G176" s="1" t="s">
        <v>1173</v>
      </c>
      <c r="H176" s="1" t="s">
        <v>160</v>
      </c>
      <c r="I176" s="1">
        <v>272</v>
      </c>
      <c r="J176" s="1" t="s">
        <v>46</v>
      </c>
      <c r="M176" s="1" t="s">
        <v>47</v>
      </c>
      <c r="N176" s="1" t="s">
        <v>48</v>
      </c>
      <c r="O176" s="9">
        <v>5</v>
      </c>
      <c r="P176" s="1">
        <f>ROUNDUP(1030*(1-$F$3),2)</f>
        <v>1030</v>
      </c>
      <c r="Q176" s="1" t="s">
        <v>49</v>
      </c>
      <c r="R176" s="1" t="s">
        <v>1174</v>
      </c>
      <c r="S176" s="1" t="s">
        <v>1175</v>
      </c>
      <c r="T176" s="9">
        <v>10</v>
      </c>
      <c r="U176" s="1">
        <f>ROUNDUP(936.36*(1-$F$3),2)</f>
        <v>936.36</v>
      </c>
      <c r="V176" s="1">
        <v>304</v>
      </c>
      <c r="Y176" s="1" t="s">
        <v>1176</v>
      </c>
      <c r="Z176" s="1" t="s">
        <v>53</v>
      </c>
      <c r="AA176" s="12">
        <v>45105</v>
      </c>
      <c r="AB176" s="1" t="s">
        <v>66</v>
      </c>
      <c r="AC176" s="1" t="s">
        <v>67</v>
      </c>
      <c r="AD176" s="1" t="s">
        <v>165</v>
      </c>
      <c r="AE176" s="1" t="s">
        <v>69</v>
      </c>
      <c r="AG176" s="1">
        <v>10945410</v>
      </c>
    </row>
    <row r="177" spans="1:33" s="1" customFormat="1" x14ac:dyDescent="0.25">
      <c r="C177" s="1" t="s">
        <v>1177</v>
      </c>
      <c r="D177" s="1" t="s">
        <v>1074</v>
      </c>
      <c r="E177" s="1" t="s">
        <v>1178</v>
      </c>
      <c r="F177" s="13" t="s">
        <v>6952</v>
      </c>
      <c r="G177" s="1" t="s">
        <v>1141</v>
      </c>
      <c r="H177" s="1" t="s">
        <v>160</v>
      </c>
      <c r="I177" s="1">
        <v>416</v>
      </c>
      <c r="J177" s="1" t="s">
        <v>46</v>
      </c>
      <c r="M177" s="1" t="s">
        <v>47</v>
      </c>
      <c r="N177" s="1" t="s">
        <v>48</v>
      </c>
      <c r="O177" s="9">
        <v>4</v>
      </c>
      <c r="P177" s="1">
        <f>ROUNDUP(1350*(1-$F$3),2)</f>
        <v>1350</v>
      </c>
      <c r="Q177" s="1" t="s">
        <v>49</v>
      </c>
      <c r="R177" s="1" t="s">
        <v>1179</v>
      </c>
      <c r="S177" s="1" t="s">
        <v>1180</v>
      </c>
      <c r="T177" s="9">
        <v>10</v>
      </c>
      <c r="U177" s="1">
        <f>ROUNDUP(1227.27*(1-$F$3),2)</f>
        <v>1227.27</v>
      </c>
      <c r="V177" s="1">
        <v>522</v>
      </c>
      <c r="Y177" s="1" t="s">
        <v>1181</v>
      </c>
      <c r="Z177" s="1" t="s">
        <v>53</v>
      </c>
      <c r="AA177" s="12">
        <v>45825</v>
      </c>
      <c r="AB177" s="1" t="s">
        <v>66</v>
      </c>
      <c r="AC177" s="1" t="s">
        <v>67</v>
      </c>
      <c r="AD177" s="1" t="s">
        <v>165</v>
      </c>
      <c r="AE177" s="1" t="s">
        <v>69</v>
      </c>
      <c r="AG177" s="1">
        <v>11746640</v>
      </c>
    </row>
    <row r="178" spans="1:33" s="1" customFormat="1" x14ac:dyDescent="0.25">
      <c r="C178" s="1" t="s">
        <v>1182</v>
      </c>
      <c r="D178" s="1" t="s">
        <v>1074</v>
      </c>
      <c r="E178" s="1" t="s">
        <v>1183</v>
      </c>
      <c r="F178" s="13" t="s">
        <v>6952</v>
      </c>
      <c r="G178" s="1" t="s">
        <v>1184</v>
      </c>
      <c r="H178" s="1" t="s">
        <v>160</v>
      </c>
      <c r="I178" s="1">
        <v>256</v>
      </c>
      <c r="J178" s="1" t="s">
        <v>46</v>
      </c>
      <c r="M178" s="1" t="s">
        <v>176</v>
      </c>
      <c r="N178" s="1" t="s">
        <v>48</v>
      </c>
      <c r="O178" s="9">
        <v>12</v>
      </c>
      <c r="P178" s="1">
        <f>ROUNDUP(890*(1-$F$3),2)</f>
        <v>890</v>
      </c>
      <c r="Q178" s="1" t="s">
        <v>49</v>
      </c>
      <c r="R178" s="1" t="s">
        <v>1185</v>
      </c>
      <c r="S178" s="1" t="s">
        <v>1186</v>
      </c>
      <c r="T178" s="9">
        <v>10</v>
      </c>
      <c r="U178" s="1">
        <f>ROUNDUP(809.09*(1-$F$3),2)</f>
        <v>809.09</v>
      </c>
      <c r="V178" s="1">
        <v>251</v>
      </c>
      <c r="Y178" s="1" t="s">
        <v>1187</v>
      </c>
      <c r="Z178" s="1" t="s">
        <v>53</v>
      </c>
      <c r="AA178" s="12">
        <v>45271</v>
      </c>
      <c r="AB178" s="1" t="s">
        <v>66</v>
      </c>
      <c r="AC178" s="1" t="s">
        <v>67</v>
      </c>
      <c r="AD178" s="1" t="s">
        <v>165</v>
      </c>
      <c r="AE178" s="1" t="s">
        <v>69</v>
      </c>
      <c r="AG178" s="1">
        <v>11169160</v>
      </c>
    </row>
    <row r="179" spans="1:33" s="1" customFormat="1" x14ac:dyDescent="0.25">
      <c r="C179" s="1" t="s">
        <v>1188</v>
      </c>
      <c r="D179" s="1" t="s">
        <v>1074</v>
      </c>
      <c r="E179" s="1" t="s">
        <v>1189</v>
      </c>
      <c r="F179" s="13" t="s">
        <v>6952</v>
      </c>
      <c r="G179" s="1" t="s">
        <v>1190</v>
      </c>
      <c r="H179" s="1" t="s">
        <v>160</v>
      </c>
      <c r="I179" s="1">
        <v>336</v>
      </c>
      <c r="J179" s="1" t="s">
        <v>46</v>
      </c>
      <c r="M179" s="1" t="s">
        <v>169</v>
      </c>
      <c r="N179" s="1" t="s">
        <v>48</v>
      </c>
      <c r="O179" s="9">
        <v>10</v>
      </c>
      <c r="P179" s="1">
        <f>ROUNDUP(1200*(1-$F$3),2)</f>
        <v>1200</v>
      </c>
      <c r="Q179" s="1" t="s">
        <v>49</v>
      </c>
      <c r="R179" s="1" t="s">
        <v>1191</v>
      </c>
      <c r="S179" s="1" t="s">
        <v>1192</v>
      </c>
      <c r="T179" s="9">
        <v>10</v>
      </c>
      <c r="U179" s="1">
        <f>ROUNDUP(1090.91*(1-$F$3),2)</f>
        <v>1090.9100000000001</v>
      </c>
      <c r="V179" s="1">
        <v>393</v>
      </c>
      <c r="Y179" s="1" t="s">
        <v>1193</v>
      </c>
      <c r="Z179" s="1" t="s">
        <v>128</v>
      </c>
      <c r="AA179" s="12">
        <v>44341</v>
      </c>
      <c r="AB179" s="1" t="s">
        <v>66</v>
      </c>
      <c r="AC179" s="1" t="s">
        <v>67</v>
      </c>
      <c r="AD179" s="1" t="s">
        <v>670</v>
      </c>
      <c r="AE179" s="1" t="s">
        <v>69</v>
      </c>
      <c r="AG179" s="1">
        <v>9714570</v>
      </c>
    </row>
    <row r="180" spans="1:33" s="1" customFormat="1" x14ac:dyDescent="0.25">
      <c r="C180" s="1" t="s">
        <v>1194</v>
      </c>
      <c r="D180" s="1" t="s">
        <v>1074</v>
      </c>
      <c r="E180" s="1" t="s">
        <v>1195</v>
      </c>
      <c r="F180" s="13" t="s">
        <v>6952</v>
      </c>
      <c r="G180" s="1" t="s">
        <v>1196</v>
      </c>
      <c r="H180" s="1" t="s">
        <v>160</v>
      </c>
      <c r="I180" s="1">
        <v>544</v>
      </c>
      <c r="J180" s="1" t="s">
        <v>46</v>
      </c>
      <c r="M180" s="1" t="s">
        <v>47</v>
      </c>
      <c r="N180" s="1" t="s">
        <v>48</v>
      </c>
      <c r="O180" s="9">
        <v>6</v>
      </c>
      <c r="P180" s="1">
        <f>ROUNDUP(1370*(1-$F$3),2)</f>
        <v>1370</v>
      </c>
      <c r="Q180" s="1" t="s">
        <v>49</v>
      </c>
      <c r="R180" s="1" t="s">
        <v>1197</v>
      </c>
      <c r="S180" s="1" t="s">
        <v>1198</v>
      </c>
      <c r="T180" s="9">
        <v>10</v>
      </c>
      <c r="U180" s="1">
        <f>ROUNDUP(1245.45*(1-$F$3),2)</f>
        <v>1245.45</v>
      </c>
      <c r="V180" s="1">
        <v>557</v>
      </c>
      <c r="Y180" s="1" t="s">
        <v>1199</v>
      </c>
      <c r="Z180" s="1" t="s">
        <v>53</v>
      </c>
      <c r="AA180" s="12">
        <v>44600</v>
      </c>
      <c r="AB180" s="1" t="s">
        <v>66</v>
      </c>
      <c r="AC180" s="1" t="s">
        <v>67</v>
      </c>
      <c r="AD180" s="1" t="s">
        <v>165</v>
      </c>
      <c r="AE180" s="1" t="s">
        <v>878</v>
      </c>
      <c r="AG180" s="1">
        <v>10040030</v>
      </c>
    </row>
    <row r="181" spans="1:33" s="1" customFormat="1" x14ac:dyDescent="0.25">
      <c r="C181" s="1" t="s">
        <v>1200</v>
      </c>
      <c r="D181" s="1" t="s">
        <v>1074</v>
      </c>
      <c r="E181" s="1" t="s">
        <v>1201</v>
      </c>
      <c r="F181" s="13" t="s">
        <v>6952</v>
      </c>
      <c r="G181" s="1" t="s">
        <v>1076</v>
      </c>
      <c r="H181" s="1" t="s">
        <v>160</v>
      </c>
      <c r="I181" s="1">
        <v>304</v>
      </c>
      <c r="J181" s="1" t="s">
        <v>46</v>
      </c>
      <c r="M181" s="1" t="s">
        <v>756</v>
      </c>
      <c r="N181" s="1" t="s">
        <v>48</v>
      </c>
      <c r="O181" s="9">
        <v>10</v>
      </c>
      <c r="P181" s="1">
        <f>ROUNDUP(1030*(1-$F$3),2)</f>
        <v>1030</v>
      </c>
      <c r="Q181" s="1" t="s">
        <v>49</v>
      </c>
      <c r="R181" s="1" t="s">
        <v>1202</v>
      </c>
      <c r="S181" s="1" t="s">
        <v>1203</v>
      </c>
      <c r="T181" s="9">
        <v>10</v>
      </c>
      <c r="U181" s="1">
        <f>ROUNDUP(936.36*(1-$F$3),2)</f>
        <v>936.36</v>
      </c>
      <c r="V181" s="1">
        <v>354</v>
      </c>
      <c r="Y181" s="1" t="s">
        <v>1204</v>
      </c>
      <c r="Z181" s="1" t="s">
        <v>53</v>
      </c>
      <c r="AA181" s="12">
        <v>44600</v>
      </c>
      <c r="AB181" s="1" t="s">
        <v>66</v>
      </c>
      <c r="AC181" s="1" t="s">
        <v>67</v>
      </c>
      <c r="AD181" s="1" t="s">
        <v>180</v>
      </c>
      <c r="AE181" s="1" t="s">
        <v>69</v>
      </c>
      <c r="AG181" s="1">
        <v>10033420</v>
      </c>
    </row>
    <row r="182" spans="1:33" s="1" customFormat="1" x14ac:dyDescent="0.25">
      <c r="C182" s="1" t="s">
        <v>1205</v>
      </c>
      <c r="D182" s="1" t="s">
        <v>1074</v>
      </c>
      <c r="E182" s="1" t="s">
        <v>1206</v>
      </c>
      <c r="F182" s="13" t="s">
        <v>6952</v>
      </c>
      <c r="G182" s="1" t="s">
        <v>1207</v>
      </c>
      <c r="H182" s="1" t="s">
        <v>160</v>
      </c>
      <c r="I182" s="1">
        <v>192</v>
      </c>
      <c r="J182" s="1" t="s">
        <v>46</v>
      </c>
      <c r="M182" s="1" t="s">
        <v>161</v>
      </c>
      <c r="N182" s="1" t="s">
        <v>48</v>
      </c>
      <c r="O182" s="9">
        <v>14</v>
      </c>
      <c r="P182" s="1">
        <f>ROUNDUP(870*(1-$F$3),2)</f>
        <v>870</v>
      </c>
      <c r="Q182" s="1" t="s">
        <v>49</v>
      </c>
      <c r="R182" s="1" t="s">
        <v>1208</v>
      </c>
      <c r="S182" s="1" t="s">
        <v>1209</v>
      </c>
      <c r="T182" s="9">
        <v>10</v>
      </c>
      <c r="U182" s="1">
        <f>ROUNDUP(790.91*(1-$F$3),2)</f>
        <v>790.91</v>
      </c>
      <c r="V182" s="1">
        <v>245</v>
      </c>
      <c r="Y182" s="1" t="s">
        <v>1210</v>
      </c>
      <c r="Z182" s="1" t="s">
        <v>53</v>
      </c>
      <c r="AA182" s="12">
        <v>44409</v>
      </c>
      <c r="AB182" s="1" t="s">
        <v>66</v>
      </c>
      <c r="AC182" s="1" t="s">
        <v>67</v>
      </c>
      <c r="AD182" s="1" t="s">
        <v>165</v>
      </c>
      <c r="AE182" s="1" t="s">
        <v>69</v>
      </c>
      <c r="AG182" s="1">
        <v>9745130</v>
      </c>
    </row>
    <row r="183" spans="1:33" s="1" customFormat="1" x14ac:dyDescent="0.25">
      <c r="C183" s="1" t="s">
        <v>1211</v>
      </c>
      <c r="D183" s="1" t="s">
        <v>1074</v>
      </c>
      <c r="E183" s="1" t="s">
        <v>1212</v>
      </c>
      <c r="F183" s="13" t="s">
        <v>6952</v>
      </c>
      <c r="G183" s="1" t="s">
        <v>1141</v>
      </c>
      <c r="H183" s="1" t="s">
        <v>160</v>
      </c>
      <c r="I183" s="1">
        <v>400</v>
      </c>
      <c r="J183" s="1" t="s">
        <v>46</v>
      </c>
      <c r="M183" s="1" t="s">
        <v>161</v>
      </c>
      <c r="N183" s="1" t="s">
        <v>48</v>
      </c>
      <c r="O183" s="9">
        <v>8</v>
      </c>
      <c r="P183" s="1">
        <f>ROUNDUP(1200*(1-$F$3),2)</f>
        <v>1200</v>
      </c>
      <c r="Q183" s="1" t="s">
        <v>49</v>
      </c>
      <c r="R183" s="1" t="s">
        <v>1213</v>
      </c>
      <c r="S183" s="1" t="s">
        <v>1214</v>
      </c>
      <c r="T183" s="9">
        <v>10</v>
      </c>
      <c r="U183" s="1">
        <f>ROUNDUP(1090.91*(1-$F$3),2)</f>
        <v>1090.9100000000001</v>
      </c>
      <c r="V183" s="1">
        <v>504</v>
      </c>
      <c r="Y183" s="1" t="s">
        <v>1215</v>
      </c>
      <c r="Z183" s="1" t="s">
        <v>53</v>
      </c>
      <c r="AA183" s="12">
        <v>44900</v>
      </c>
      <c r="AB183" s="1" t="s">
        <v>66</v>
      </c>
      <c r="AC183" s="1" t="s">
        <v>67</v>
      </c>
      <c r="AD183" s="1" t="s">
        <v>165</v>
      </c>
      <c r="AE183" s="1" t="s">
        <v>69</v>
      </c>
      <c r="AG183" s="1">
        <v>10702360</v>
      </c>
    </row>
    <row r="184" spans="1:33" s="1" customFormat="1" x14ac:dyDescent="0.25">
      <c r="C184" s="1" t="s">
        <v>1216</v>
      </c>
      <c r="D184" s="1" t="s">
        <v>1074</v>
      </c>
      <c r="E184" s="1" t="s">
        <v>1217</v>
      </c>
      <c r="F184" s="13" t="s">
        <v>6952</v>
      </c>
      <c r="G184" s="1" t="s">
        <v>1218</v>
      </c>
      <c r="H184" s="1" t="s">
        <v>160</v>
      </c>
      <c r="I184" s="1">
        <v>336</v>
      </c>
      <c r="J184" s="1" t="s">
        <v>46</v>
      </c>
      <c r="M184" s="1" t="s">
        <v>47</v>
      </c>
      <c r="N184" s="1" t="s">
        <v>48</v>
      </c>
      <c r="O184" s="9">
        <v>4</v>
      </c>
      <c r="P184" s="1">
        <f>ROUNDUP(1040*(1-$F$3),2)</f>
        <v>1040</v>
      </c>
      <c r="Q184" s="1" t="s">
        <v>49</v>
      </c>
      <c r="R184" s="1" t="s">
        <v>1219</v>
      </c>
      <c r="S184" s="1" t="s">
        <v>1220</v>
      </c>
      <c r="T184" s="9">
        <v>10</v>
      </c>
      <c r="U184" s="1">
        <f>ROUNDUP(945.45*(1-$F$3),2)</f>
        <v>945.45</v>
      </c>
      <c r="V184" s="1">
        <v>369</v>
      </c>
      <c r="Y184" s="1" t="s">
        <v>1221</v>
      </c>
      <c r="Z184" s="1" t="s">
        <v>53</v>
      </c>
      <c r="AA184" s="12">
        <v>45218</v>
      </c>
      <c r="AB184" s="1" t="s">
        <v>66</v>
      </c>
      <c r="AC184" s="1" t="s">
        <v>67</v>
      </c>
      <c r="AD184" s="1" t="s">
        <v>165</v>
      </c>
      <c r="AE184" s="1" t="s">
        <v>69</v>
      </c>
      <c r="AG184" s="1">
        <v>11092210</v>
      </c>
    </row>
    <row r="185" spans="1:33" s="1" customFormat="1" x14ac:dyDescent="0.25">
      <c r="C185" s="1" t="s">
        <v>1222</v>
      </c>
      <c r="D185" s="1" t="s">
        <v>1223</v>
      </c>
      <c r="E185" s="1" t="s">
        <v>1224</v>
      </c>
      <c r="F185" s="13" t="s">
        <v>6952</v>
      </c>
      <c r="G185" s="1" t="s">
        <v>1225</v>
      </c>
      <c r="H185" s="1" t="s">
        <v>160</v>
      </c>
      <c r="I185" s="1">
        <v>320</v>
      </c>
      <c r="J185" s="1" t="s">
        <v>46</v>
      </c>
      <c r="M185" s="1" t="s">
        <v>47</v>
      </c>
      <c r="N185" s="1" t="s">
        <v>48</v>
      </c>
      <c r="O185" s="9">
        <v>16</v>
      </c>
      <c r="P185" s="1">
        <f>ROUNDUP(1030*(1-$F$3),2)</f>
        <v>1030</v>
      </c>
      <c r="Q185" s="1" t="s">
        <v>49</v>
      </c>
      <c r="R185" s="1" t="s">
        <v>1226</v>
      </c>
      <c r="S185" s="1" t="s">
        <v>1227</v>
      </c>
      <c r="T185" s="9">
        <v>10</v>
      </c>
      <c r="U185" s="1">
        <f>ROUNDUP(936.36*(1-$F$3),2)</f>
        <v>936.36</v>
      </c>
      <c r="V185" s="1">
        <v>328</v>
      </c>
      <c r="Y185" s="1" t="s">
        <v>1228</v>
      </c>
      <c r="Z185" s="1" t="s">
        <v>53</v>
      </c>
      <c r="AA185" s="12">
        <v>44543</v>
      </c>
      <c r="AB185" s="1" t="s">
        <v>66</v>
      </c>
      <c r="AC185" s="1" t="s">
        <v>67</v>
      </c>
      <c r="AD185" s="1" t="s">
        <v>165</v>
      </c>
      <c r="AE185" s="1" t="s">
        <v>69</v>
      </c>
      <c r="AG185" s="1">
        <v>9978530</v>
      </c>
    </row>
    <row r="186" spans="1:33" s="1" customFormat="1" x14ac:dyDescent="0.25">
      <c r="C186" s="1" t="s">
        <v>1229</v>
      </c>
      <c r="D186" s="1" t="s">
        <v>1230</v>
      </c>
      <c r="E186" s="1" t="s">
        <v>1231</v>
      </c>
      <c r="F186" s="13" t="s">
        <v>6952</v>
      </c>
      <c r="G186" s="1" t="s">
        <v>1232</v>
      </c>
      <c r="H186" s="1" t="s">
        <v>61</v>
      </c>
      <c r="I186" s="1">
        <v>480</v>
      </c>
      <c r="J186" s="1" t="s">
        <v>46</v>
      </c>
      <c r="M186" s="1" t="s">
        <v>756</v>
      </c>
      <c r="N186" s="1" t="s">
        <v>48</v>
      </c>
      <c r="O186" s="9">
        <v>10</v>
      </c>
      <c r="P186" s="1">
        <f>ROUNDUP(3340*(1-$F$3),2)</f>
        <v>3340</v>
      </c>
      <c r="Q186" s="1" t="s">
        <v>49</v>
      </c>
      <c r="R186" s="1" t="s">
        <v>1233</v>
      </c>
      <c r="S186" s="1" t="s">
        <v>1234</v>
      </c>
      <c r="T186" s="9">
        <v>10</v>
      </c>
      <c r="U186" s="1">
        <f>ROUNDUP(3036.36*(1-$F$3),2)</f>
        <v>3036.36</v>
      </c>
      <c r="V186" s="1">
        <v>592</v>
      </c>
      <c r="Y186" s="1" t="s">
        <v>1235</v>
      </c>
      <c r="Z186" s="1" t="s">
        <v>53</v>
      </c>
      <c r="AA186" s="12">
        <v>44393</v>
      </c>
      <c r="AB186" s="1" t="s">
        <v>95</v>
      </c>
      <c r="AC186" s="1" t="s">
        <v>112</v>
      </c>
      <c r="AD186" s="1" t="s">
        <v>1236</v>
      </c>
      <c r="AE186" s="1" t="s">
        <v>69</v>
      </c>
      <c r="AG186" s="1">
        <v>9705110</v>
      </c>
    </row>
    <row r="187" spans="1:33" s="1" customFormat="1" x14ac:dyDescent="0.25">
      <c r="C187" s="1" t="s">
        <v>1237</v>
      </c>
      <c r="D187" s="1" t="s">
        <v>1238</v>
      </c>
      <c r="E187" s="1" t="s">
        <v>1239</v>
      </c>
      <c r="F187" s="13" t="s">
        <v>6952</v>
      </c>
      <c r="G187" s="1" t="s">
        <v>888</v>
      </c>
      <c r="H187" s="1" t="s">
        <v>1240</v>
      </c>
      <c r="I187" s="1">
        <v>256</v>
      </c>
      <c r="J187" s="1" t="s">
        <v>46</v>
      </c>
      <c r="M187" s="1" t="s">
        <v>47</v>
      </c>
      <c r="N187" s="1" t="s">
        <v>139</v>
      </c>
      <c r="O187" s="9">
        <v>8</v>
      </c>
      <c r="P187" s="1">
        <f>ROUNDUP(1050*(1-$F$3),2)</f>
        <v>1050</v>
      </c>
      <c r="Q187" s="1" t="s">
        <v>49</v>
      </c>
      <c r="R187" s="1" t="s">
        <v>1241</v>
      </c>
      <c r="S187" s="1" t="s">
        <v>1242</v>
      </c>
      <c r="T187" s="9">
        <v>10</v>
      </c>
      <c r="U187" s="1">
        <f>ROUNDUP(954.55*(1-$F$3),2)</f>
        <v>954.55</v>
      </c>
      <c r="V187" s="1">
        <v>254</v>
      </c>
      <c r="Y187" s="1" t="s">
        <v>1243</v>
      </c>
      <c r="Z187" s="1" t="s">
        <v>53</v>
      </c>
      <c r="AA187" s="12">
        <v>44676</v>
      </c>
      <c r="AB187" s="1" t="s">
        <v>95</v>
      </c>
      <c r="AC187" s="1" t="s">
        <v>112</v>
      </c>
      <c r="AD187" s="1" t="s">
        <v>839</v>
      </c>
      <c r="AE187" s="1" t="s">
        <v>69</v>
      </c>
      <c r="AG187" s="1">
        <v>10232820</v>
      </c>
    </row>
    <row r="188" spans="1:33" s="1" customFormat="1" x14ac:dyDescent="0.25">
      <c r="C188" s="1" t="s">
        <v>1244</v>
      </c>
      <c r="D188" s="1" t="s">
        <v>1238</v>
      </c>
      <c r="E188" s="1" t="s">
        <v>1245</v>
      </c>
      <c r="F188" s="13" t="s">
        <v>6952</v>
      </c>
      <c r="G188" s="1" t="s">
        <v>888</v>
      </c>
      <c r="H188" s="1" t="s">
        <v>1240</v>
      </c>
      <c r="I188" s="1">
        <v>320</v>
      </c>
      <c r="J188" s="1" t="s">
        <v>46</v>
      </c>
      <c r="M188" s="1" t="s">
        <v>47</v>
      </c>
      <c r="N188" s="1" t="s">
        <v>139</v>
      </c>
      <c r="O188" s="9">
        <v>8</v>
      </c>
      <c r="P188" s="1">
        <f>ROUNDUP(1070*(1-$F$3),2)</f>
        <v>1070</v>
      </c>
      <c r="Q188" s="1" t="s">
        <v>49</v>
      </c>
      <c r="R188" s="1" t="s">
        <v>1246</v>
      </c>
      <c r="S188" s="1" t="s">
        <v>1247</v>
      </c>
      <c r="T188" s="9">
        <v>10</v>
      </c>
      <c r="U188" s="1">
        <f>ROUNDUP(972.73*(1-$F$3),2)</f>
        <v>972.73</v>
      </c>
      <c r="V188" s="1">
        <v>177</v>
      </c>
      <c r="Y188" s="1" t="s">
        <v>1248</v>
      </c>
      <c r="Z188" s="1" t="s">
        <v>53</v>
      </c>
      <c r="AA188" s="12">
        <v>44363</v>
      </c>
      <c r="AB188" s="1" t="s">
        <v>95</v>
      </c>
      <c r="AC188" s="1" t="s">
        <v>112</v>
      </c>
      <c r="AD188" s="1" t="s">
        <v>839</v>
      </c>
      <c r="AE188" s="1" t="s">
        <v>69</v>
      </c>
      <c r="AG188" s="1">
        <v>9690140</v>
      </c>
    </row>
    <row r="189" spans="1:33" s="11" customFormat="1" x14ac:dyDescent="0.25">
      <c r="A189" s="11" t="s">
        <v>6953</v>
      </c>
      <c r="C189" s="11" t="s">
        <v>1249</v>
      </c>
      <c r="D189" s="11" t="s">
        <v>1238</v>
      </c>
      <c r="E189" s="11" t="s">
        <v>887</v>
      </c>
      <c r="F189" s="14" t="s">
        <v>6952</v>
      </c>
      <c r="G189" s="11" t="s">
        <v>888</v>
      </c>
      <c r="H189" s="11" t="s">
        <v>160</v>
      </c>
      <c r="I189" s="11">
        <v>306</v>
      </c>
      <c r="J189" s="11" t="s">
        <v>46</v>
      </c>
      <c r="M189" s="11" t="s">
        <v>62</v>
      </c>
      <c r="N189" s="11" t="s">
        <v>139</v>
      </c>
      <c r="O189" s="23">
        <v>6</v>
      </c>
      <c r="P189" s="11">
        <f>ROUNDUP(979*(1-$F$3),2)</f>
        <v>979</v>
      </c>
      <c r="Q189" s="11" t="s">
        <v>49</v>
      </c>
      <c r="R189" s="11" t="s">
        <v>1250</v>
      </c>
      <c r="S189" s="11" t="s">
        <v>1251</v>
      </c>
      <c r="T189" s="23">
        <v>10</v>
      </c>
      <c r="U189" s="11">
        <f>ROUNDUP(890*(1-$F$3),2)</f>
        <v>890</v>
      </c>
      <c r="V189" s="11">
        <v>223</v>
      </c>
      <c r="Y189" s="11" t="s">
        <v>891</v>
      </c>
      <c r="Z189" s="11" t="s">
        <v>53</v>
      </c>
      <c r="AA189" s="15">
        <v>44676</v>
      </c>
      <c r="AB189" s="11" t="s">
        <v>334</v>
      </c>
      <c r="AC189" s="11" t="s">
        <v>892</v>
      </c>
      <c r="AD189" s="11" t="s">
        <v>893</v>
      </c>
      <c r="AE189" s="11" t="s">
        <v>69</v>
      </c>
      <c r="AG189" s="11">
        <v>10162230</v>
      </c>
    </row>
    <row r="190" spans="1:33" s="1" customFormat="1" x14ac:dyDescent="0.25">
      <c r="C190" s="1" t="s">
        <v>1252</v>
      </c>
      <c r="D190" s="1" t="s">
        <v>1238</v>
      </c>
      <c r="E190" s="1" t="s">
        <v>1253</v>
      </c>
      <c r="F190" s="13" t="s">
        <v>6952</v>
      </c>
      <c r="G190" s="1" t="s">
        <v>1254</v>
      </c>
      <c r="H190" s="1" t="s">
        <v>1240</v>
      </c>
      <c r="I190" s="1">
        <v>390</v>
      </c>
      <c r="J190" s="1" t="s">
        <v>46</v>
      </c>
      <c r="M190" s="1" t="s">
        <v>169</v>
      </c>
      <c r="N190" s="1" t="s">
        <v>139</v>
      </c>
      <c r="O190" s="9">
        <v>14</v>
      </c>
      <c r="P190" s="1">
        <f>ROUNDUP(1170*(1-$F$3),2)</f>
        <v>1170</v>
      </c>
      <c r="Q190" s="1" t="s">
        <v>49</v>
      </c>
      <c r="R190" s="1" t="s">
        <v>1255</v>
      </c>
      <c r="S190" s="1" t="s">
        <v>1256</v>
      </c>
      <c r="T190" s="9">
        <v>10</v>
      </c>
      <c r="U190" s="1">
        <f>ROUNDUP(1063.64*(1-$F$3),2)</f>
        <v>1063.6400000000001</v>
      </c>
      <c r="V190" s="1">
        <v>287</v>
      </c>
      <c r="Y190" s="1" t="s">
        <v>1257</v>
      </c>
      <c r="Z190" s="1" t="s">
        <v>53</v>
      </c>
      <c r="AA190" s="12">
        <v>44834</v>
      </c>
      <c r="AB190" s="1" t="s">
        <v>66</v>
      </c>
      <c r="AC190" s="1" t="s">
        <v>104</v>
      </c>
      <c r="AD190" s="1" t="s">
        <v>105</v>
      </c>
      <c r="AE190" s="1" t="s">
        <v>69</v>
      </c>
      <c r="AG190" s="1">
        <v>10646110</v>
      </c>
    </row>
    <row r="191" spans="1:33" s="1" customFormat="1" x14ac:dyDescent="0.25">
      <c r="C191" s="1" t="s">
        <v>1258</v>
      </c>
      <c r="D191" s="1" t="s">
        <v>1238</v>
      </c>
      <c r="E191" s="1" t="s">
        <v>1259</v>
      </c>
      <c r="F191" s="13" t="s">
        <v>6952</v>
      </c>
      <c r="G191" s="1" t="s">
        <v>1260</v>
      </c>
      <c r="H191" s="1" t="s">
        <v>1240</v>
      </c>
      <c r="I191" s="1">
        <v>384</v>
      </c>
      <c r="J191" s="1" t="s">
        <v>46</v>
      </c>
      <c r="M191" s="1" t="s">
        <v>176</v>
      </c>
      <c r="N191" s="1" t="s">
        <v>139</v>
      </c>
      <c r="O191" s="9">
        <v>14</v>
      </c>
      <c r="P191" s="1">
        <f>ROUNDUP(930*(1-$F$3),2)</f>
        <v>930</v>
      </c>
      <c r="Q191" s="1" t="s">
        <v>49</v>
      </c>
      <c r="R191" s="1" t="s">
        <v>1261</v>
      </c>
      <c r="S191" s="1" t="s">
        <v>1262</v>
      </c>
      <c r="T191" s="9">
        <v>10</v>
      </c>
      <c r="U191" s="1">
        <f>ROUNDUP(845.45*(1-$F$3),2)</f>
        <v>845.45</v>
      </c>
      <c r="V191" s="1">
        <v>285</v>
      </c>
      <c r="Y191" s="1" t="s">
        <v>1263</v>
      </c>
      <c r="Z191" s="1" t="s">
        <v>53</v>
      </c>
      <c r="AA191" s="12">
        <v>43347</v>
      </c>
      <c r="AB191" s="1" t="s">
        <v>234</v>
      </c>
      <c r="AC191" s="1" t="s">
        <v>235</v>
      </c>
      <c r="AD191" s="1" t="s">
        <v>1264</v>
      </c>
      <c r="AE191" s="1" t="s">
        <v>69</v>
      </c>
      <c r="AG191" s="1">
        <v>8723800</v>
      </c>
    </row>
    <row r="192" spans="1:33" s="1" customFormat="1" x14ac:dyDescent="0.25">
      <c r="C192" s="1" t="s">
        <v>1265</v>
      </c>
      <c r="D192" s="1" t="s">
        <v>1238</v>
      </c>
      <c r="E192" s="1" t="s">
        <v>1266</v>
      </c>
      <c r="F192" s="13" t="s">
        <v>6952</v>
      </c>
      <c r="G192" s="1" t="s">
        <v>1267</v>
      </c>
      <c r="H192" s="1" t="s">
        <v>1240</v>
      </c>
      <c r="I192" s="1">
        <v>226</v>
      </c>
      <c r="J192" s="1" t="s">
        <v>46</v>
      </c>
      <c r="M192" s="1" t="s">
        <v>756</v>
      </c>
      <c r="N192" s="1" t="s">
        <v>139</v>
      </c>
      <c r="O192" s="9">
        <v>18</v>
      </c>
      <c r="P192" s="1">
        <f>ROUNDUP(950*(1-$F$3),2)</f>
        <v>950</v>
      </c>
      <c r="Q192" s="1" t="s">
        <v>49</v>
      </c>
      <c r="R192" s="1" t="s">
        <v>1268</v>
      </c>
      <c r="S192" s="1" t="s">
        <v>1269</v>
      </c>
      <c r="T192" s="9">
        <v>10</v>
      </c>
      <c r="U192" s="1">
        <f>ROUNDUP(863.64*(1-$F$3),2)</f>
        <v>863.64</v>
      </c>
      <c r="V192" s="1">
        <v>174</v>
      </c>
      <c r="Y192" s="1" t="s">
        <v>1270</v>
      </c>
      <c r="Z192" s="1" t="s">
        <v>53</v>
      </c>
      <c r="AA192" s="12">
        <v>44302</v>
      </c>
      <c r="AB192" s="1" t="s">
        <v>66</v>
      </c>
      <c r="AC192" s="1" t="s">
        <v>1271</v>
      </c>
      <c r="AD192" s="1" t="s">
        <v>1272</v>
      </c>
      <c r="AE192" s="1" t="s">
        <v>69</v>
      </c>
      <c r="AG192" s="1">
        <v>9610840</v>
      </c>
    </row>
    <row r="193" spans="1:33" s="1" customFormat="1" x14ac:dyDescent="0.25">
      <c r="C193" s="1" t="s">
        <v>1273</v>
      </c>
      <c r="D193" s="1" t="s">
        <v>1238</v>
      </c>
      <c r="E193" s="1" t="s">
        <v>1274</v>
      </c>
      <c r="F193" s="13" t="s">
        <v>6952</v>
      </c>
      <c r="G193" s="1" t="s">
        <v>1275</v>
      </c>
      <c r="H193" s="1" t="s">
        <v>1240</v>
      </c>
      <c r="I193" s="1">
        <v>176</v>
      </c>
      <c r="J193" s="1" t="s">
        <v>46</v>
      </c>
      <c r="M193" s="1" t="s">
        <v>176</v>
      </c>
      <c r="N193" s="1" t="s">
        <v>139</v>
      </c>
      <c r="O193" s="9">
        <v>24</v>
      </c>
      <c r="P193" s="1">
        <f>ROUNDUP(690*(1-$F$3),2)</f>
        <v>690</v>
      </c>
      <c r="Q193" s="1" t="s">
        <v>49</v>
      </c>
      <c r="R193" s="1" t="s">
        <v>1276</v>
      </c>
      <c r="S193" s="1" t="s">
        <v>1277</v>
      </c>
      <c r="T193" s="9">
        <v>10</v>
      </c>
      <c r="U193" s="1">
        <f>ROUNDUP(627.27*(1-$F$3),2)</f>
        <v>627.27</v>
      </c>
      <c r="V193" s="1">
        <v>161</v>
      </c>
      <c r="Y193" s="1" t="s">
        <v>1278</v>
      </c>
      <c r="Z193" s="1" t="s">
        <v>128</v>
      </c>
      <c r="AA193" s="12">
        <v>44300</v>
      </c>
      <c r="AB193" s="1" t="s">
        <v>66</v>
      </c>
      <c r="AC193" s="1" t="s">
        <v>143</v>
      </c>
      <c r="AD193" s="1" t="s">
        <v>1279</v>
      </c>
      <c r="AE193" s="1" t="s">
        <v>69</v>
      </c>
      <c r="AG193" s="1">
        <v>9648480</v>
      </c>
    </row>
    <row r="194" spans="1:33" s="11" customFormat="1" x14ac:dyDescent="0.25">
      <c r="A194" s="11" t="s">
        <v>6953</v>
      </c>
      <c r="C194" s="11" t="s">
        <v>1280</v>
      </c>
      <c r="D194" s="11" t="s">
        <v>1238</v>
      </c>
      <c r="E194" s="11" t="s">
        <v>1281</v>
      </c>
      <c r="F194" s="14" t="s">
        <v>6952</v>
      </c>
      <c r="G194" s="11" t="s">
        <v>1282</v>
      </c>
      <c r="H194" s="11" t="s">
        <v>1240</v>
      </c>
      <c r="I194" s="11">
        <v>228</v>
      </c>
      <c r="J194" s="11" t="s">
        <v>46</v>
      </c>
      <c r="M194" s="11" t="s">
        <v>62</v>
      </c>
      <c r="N194" s="11" t="s">
        <v>139</v>
      </c>
      <c r="O194" s="23">
        <v>20</v>
      </c>
      <c r="P194" s="11">
        <f>ROUNDUP(870*(1-$F$3),2)</f>
        <v>870</v>
      </c>
      <c r="Q194" s="11" t="s">
        <v>49</v>
      </c>
      <c r="R194" s="11" t="s">
        <v>1283</v>
      </c>
      <c r="S194" s="11" t="s">
        <v>1284</v>
      </c>
      <c r="T194" s="23">
        <v>10</v>
      </c>
      <c r="U194" s="11">
        <f>ROUNDUP(790.91*(1-$F$3),2)</f>
        <v>790.91</v>
      </c>
      <c r="V194" s="11">
        <v>203</v>
      </c>
      <c r="Y194" s="11" t="s">
        <v>1285</v>
      </c>
      <c r="Z194" s="11" t="s">
        <v>53</v>
      </c>
      <c r="AA194" s="15">
        <v>44910</v>
      </c>
      <c r="AB194" s="11" t="s">
        <v>95</v>
      </c>
      <c r="AC194" s="11" t="s">
        <v>96</v>
      </c>
      <c r="AD194" s="11" t="s">
        <v>1286</v>
      </c>
      <c r="AE194" s="11" t="s">
        <v>69</v>
      </c>
      <c r="AG194" s="11">
        <v>10736800</v>
      </c>
    </row>
    <row r="195" spans="1:33" s="1" customFormat="1" x14ac:dyDescent="0.25">
      <c r="C195" s="1" t="s">
        <v>1287</v>
      </c>
      <c r="D195" s="1" t="s">
        <v>1238</v>
      </c>
      <c r="E195" s="1" t="s">
        <v>1288</v>
      </c>
      <c r="F195" s="13" t="s">
        <v>6952</v>
      </c>
      <c r="G195" s="1" t="s">
        <v>1289</v>
      </c>
      <c r="H195" s="1" t="s">
        <v>1240</v>
      </c>
      <c r="I195" s="1">
        <v>362</v>
      </c>
      <c r="J195" s="1" t="s">
        <v>46</v>
      </c>
      <c r="M195" s="1" t="s">
        <v>169</v>
      </c>
      <c r="N195" s="1" t="s">
        <v>139</v>
      </c>
      <c r="O195" s="9">
        <v>16</v>
      </c>
      <c r="P195" s="1">
        <f>ROUNDUP(1100*(1-$F$3),2)</f>
        <v>1100</v>
      </c>
      <c r="Q195" s="1" t="s">
        <v>49</v>
      </c>
      <c r="R195" s="1" t="s">
        <v>1290</v>
      </c>
      <c r="S195" s="1" t="s">
        <v>1291</v>
      </c>
      <c r="T195" s="9">
        <v>10</v>
      </c>
      <c r="U195" s="1">
        <f>ROUNDUP(1000*(1-$F$3),2)</f>
        <v>1000</v>
      </c>
      <c r="V195" s="1">
        <v>271</v>
      </c>
      <c r="Y195" s="1" t="s">
        <v>1292</v>
      </c>
      <c r="Z195" s="1" t="s">
        <v>76</v>
      </c>
      <c r="AA195" s="12">
        <v>44707</v>
      </c>
      <c r="AB195" s="1" t="s">
        <v>66</v>
      </c>
      <c r="AC195" s="1" t="s">
        <v>143</v>
      </c>
      <c r="AD195" s="1" t="s">
        <v>144</v>
      </c>
      <c r="AE195" s="1" t="s">
        <v>69</v>
      </c>
      <c r="AG195" s="1">
        <v>10238800</v>
      </c>
    </row>
    <row r="196" spans="1:33" s="1" customFormat="1" x14ac:dyDescent="0.25">
      <c r="C196" s="1" t="s">
        <v>1293</v>
      </c>
      <c r="D196" s="1" t="s">
        <v>1238</v>
      </c>
      <c r="E196" s="1" t="s">
        <v>1294</v>
      </c>
      <c r="F196" s="13" t="s">
        <v>6952</v>
      </c>
      <c r="G196" s="1" t="s">
        <v>1295</v>
      </c>
      <c r="H196" s="1" t="s">
        <v>1240</v>
      </c>
      <c r="I196" s="1">
        <v>378</v>
      </c>
      <c r="J196" s="1" t="s">
        <v>46</v>
      </c>
      <c r="M196" s="1" t="s">
        <v>169</v>
      </c>
      <c r="N196" s="1" t="s">
        <v>139</v>
      </c>
      <c r="O196" s="9">
        <v>14</v>
      </c>
      <c r="P196" s="1">
        <f>ROUNDUP(1100*(1-$F$3),2)</f>
        <v>1100</v>
      </c>
      <c r="Q196" s="1" t="s">
        <v>49</v>
      </c>
      <c r="R196" s="1" t="s">
        <v>1296</v>
      </c>
      <c r="S196" s="1" t="s">
        <v>1297</v>
      </c>
      <c r="T196" s="9">
        <v>10</v>
      </c>
      <c r="U196" s="1">
        <f>ROUNDUP(1000*(1-$F$3),2)</f>
        <v>1000</v>
      </c>
      <c r="V196" s="1">
        <v>282</v>
      </c>
      <c r="Y196" s="1" t="s">
        <v>1298</v>
      </c>
      <c r="Z196" s="1" t="s">
        <v>53</v>
      </c>
      <c r="AA196" s="12">
        <v>44707</v>
      </c>
      <c r="AB196" s="1" t="s">
        <v>66</v>
      </c>
      <c r="AC196" s="1" t="s">
        <v>143</v>
      </c>
      <c r="AD196" s="1" t="s">
        <v>847</v>
      </c>
      <c r="AE196" s="1" t="s">
        <v>69</v>
      </c>
      <c r="AG196" s="1">
        <v>10367310</v>
      </c>
    </row>
    <row r="197" spans="1:33" s="1" customFormat="1" x14ac:dyDescent="0.25">
      <c r="C197" s="1" t="s">
        <v>1299</v>
      </c>
      <c r="D197" s="1" t="s">
        <v>1238</v>
      </c>
      <c r="E197" s="1" t="s">
        <v>1300</v>
      </c>
      <c r="F197" s="13" t="s">
        <v>6952</v>
      </c>
      <c r="G197" s="1" t="s">
        <v>1301</v>
      </c>
      <c r="H197" s="1" t="s">
        <v>1240</v>
      </c>
      <c r="I197" s="1">
        <v>230</v>
      </c>
      <c r="J197" s="1" t="s">
        <v>46</v>
      </c>
      <c r="M197" s="1" t="s">
        <v>756</v>
      </c>
      <c r="N197" s="1" t="s">
        <v>139</v>
      </c>
      <c r="O197" s="9">
        <v>18</v>
      </c>
      <c r="P197" s="1">
        <f>ROUNDUP(850*(1-$F$3),2)</f>
        <v>850</v>
      </c>
      <c r="Q197" s="1" t="s">
        <v>49</v>
      </c>
      <c r="R197" s="1" t="s">
        <v>1302</v>
      </c>
      <c r="S197" s="1" t="s">
        <v>1303</v>
      </c>
      <c r="T197" s="9">
        <v>10</v>
      </c>
      <c r="U197" s="1">
        <f>ROUNDUP(772.73*(1-$F$3),2)</f>
        <v>772.73</v>
      </c>
      <c r="V197" s="1">
        <v>176</v>
      </c>
      <c r="Y197" s="1" t="s">
        <v>1304</v>
      </c>
      <c r="Z197" s="1" t="s">
        <v>53</v>
      </c>
      <c r="AA197" s="12">
        <v>44473</v>
      </c>
      <c r="AB197" s="1" t="s">
        <v>66</v>
      </c>
      <c r="AC197" s="1" t="s">
        <v>143</v>
      </c>
      <c r="AD197" s="1" t="s">
        <v>144</v>
      </c>
      <c r="AE197" s="1" t="s">
        <v>69</v>
      </c>
      <c r="AG197" s="1">
        <v>9764190</v>
      </c>
    </row>
    <row r="198" spans="1:33" s="11" customFormat="1" x14ac:dyDescent="0.25">
      <c r="A198" s="11" t="s">
        <v>6953</v>
      </c>
      <c r="C198" s="11" t="s">
        <v>1305</v>
      </c>
      <c r="D198" s="11" t="s">
        <v>1238</v>
      </c>
      <c r="E198" s="11" t="s">
        <v>1306</v>
      </c>
      <c r="F198" s="14" t="s">
        <v>6952</v>
      </c>
      <c r="G198" s="11" t="s">
        <v>503</v>
      </c>
      <c r="H198" s="11" t="s">
        <v>1240</v>
      </c>
      <c r="I198" s="11">
        <v>176</v>
      </c>
      <c r="J198" s="11" t="s">
        <v>46</v>
      </c>
      <c r="M198" s="11" t="s">
        <v>62</v>
      </c>
      <c r="N198" s="11" t="s">
        <v>139</v>
      </c>
      <c r="O198" s="23">
        <v>25</v>
      </c>
      <c r="P198" s="11">
        <f>ROUNDUP(720*(1-$F$3),2)</f>
        <v>720</v>
      </c>
      <c r="Q198" s="11" t="s">
        <v>49</v>
      </c>
      <c r="R198" s="11" t="s">
        <v>1307</v>
      </c>
      <c r="S198" s="11" t="s">
        <v>1308</v>
      </c>
      <c r="T198" s="23">
        <v>10</v>
      </c>
      <c r="U198" s="11">
        <f>ROUNDUP(654.55*(1-$F$3),2)</f>
        <v>654.54999999999995</v>
      </c>
      <c r="V198" s="11">
        <v>159</v>
      </c>
      <c r="Y198" s="11" t="s">
        <v>1309</v>
      </c>
      <c r="Z198" s="11" t="s">
        <v>128</v>
      </c>
      <c r="AA198" s="15">
        <v>44483</v>
      </c>
      <c r="AB198" s="11" t="s">
        <v>286</v>
      </c>
      <c r="AC198" s="11" t="s">
        <v>320</v>
      </c>
      <c r="AD198" s="11" t="s">
        <v>970</v>
      </c>
      <c r="AE198" s="11" t="s">
        <v>69</v>
      </c>
      <c r="AG198" s="11">
        <v>9797790</v>
      </c>
    </row>
    <row r="199" spans="1:33" s="1" customFormat="1" x14ac:dyDescent="0.25">
      <c r="C199" s="1" t="s">
        <v>1310</v>
      </c>
      <c r="D199" s="1" t="s">
        <v>1238</v>
      </c>
      <c r="E199" s="1" t="s">
        <v>1311</v>
      </c>
      <c r="F199" s="13" t="s">
        <v>6952</v>
      </c>
      <c r="G199" s="1" t="s">
        <v>1312</v>
      </c>
      <c r="H199" s="1" t="s">
        <v>1240</v>
      </c>
      <c r="I199" s="1">
        <v>376</v>
      </c>
      <c r="J199" s="1" t="s">
        <v>46</v>
      </c>
      <c r="M199" s="1" t="s">
        <v>176</v>
      </c>
      <c r="N199" s="1" t="s">
        <v>139</v>
      </c>
      <c r="O199" s="9">
        <v>14</v>
      </c>
      <c r="P199" s="1">
        <f>ROUNDUP(930*(1-$F$3),2)</f>
        <v>930</v>
      </c>
      <c r="Q199" s="1" t="s">
        <v>49</v>
      </c>
      <c r="R199" s="1" t="s">
        <v>1313</v>
      </c>
      <c r="S199" s="1" t="s">
        <v>1314</v>
      </c>
      <c r="T199" s="9">
        <v>10</v>
      </c>
      <c r="U199" s="1">
        <f>ROUNDUP(845.45*(1-$F$3),2)</f>
        <v>845.45</v>
      </c>
      <c r="V199" s="1">
        <v>279</v>
      </c>
      <c r="Y199" s="1" t="s">
        <v>1315</v>
      </c>
      <c r="Z199" s="1" t="s">
        <v>53</v>
      </c>
      <c r="AA199" s="12">
        <v>44316</v>
      </c>
      <c r="AB199" s="1" t="s">
        <v>66</v>
      </c>
      <c r="AC199" s="1" t="s">
        <v>143</v>
      </c>
      <c r="AD199" s="1" t="s">
        <v>144</v>
      </c>
      <c r="AE199" s="1" t="s">
        <v>69</v>
      </c>
      <c r="AG199" s="1">
        <v>9709650</v>
      </c>
    </row>
    <row r="200" spans="1:33" s="1" customFormat="1" x14ac:dyDescent="0.25">
      <c r="C200" s="1" t="s">
        <v>1316</v>
      </c>
      <c r="D200" s="1" t="s">
        <v>1238</v>
      </c>
      <c r="E200" s="1" t="s">
        <v>1317</v>
      </c>
      <c r="F200" s="13" t="s">
        <v>6952</v>
      </c>
      <c r="G200" s="1" t="s">
        <v>1318</v>
      </c>
      <c r="H200" s="1" t="s">
        <v>1240</v>
      </c>
      <c r="I200" s="1">
        <v>312</v>
      </c>
      <c r="J200" s="1" t="s">
        <v>46</v>
      </c>
      <c r="M200" s="1" t="s">
        <v>169</v>
      </c>
      <c r="N200" s="1" t="s">
        <v>139</v>
      </c>
      <c r="O200" s="9">
        <v>18</v>
      </c>
      <c r="P200" s="1">
        <f>ROUNDUP(950*(1-$F$3),2)</f>
        <v>950</v>
      </c>
      <c r="Q200" s="1" t="s">
        <v>49</v>
      </c>
      <c r="R200" s="1" t="s">
        <v>1319</v>
      </c>
      <c r="S200" s="1" t="s">
        <v>1320</v>
      </c>
      <c r="T200" s="9">
        <v>10</v>
      </c>
      <c r="U200" s="1">
        <f>ROUNDUP(863.64*(1-$F$3),2)</f>
        <v>863.64</v>
      </c>
      <c r="V200" s="1">
        <v>226</v>
      </c>
      <c r="Y200" s="1" t="s">
        <v>1321</v>
      </c>
      <c r="Z200" s="1" t="s">
        <v>53</v>
      </c>
      <c r="AA200" s="12">
        <v>44676</v>
      </c>
      <c r="AB200" s="1" t="s">
        <v>66</v>
      </c>
      <c r="AC200" s="1" t="s">
        <v>143</v>
      </c>
      <c r="AD200" s="1" t="s">
        <v>144</v>
      </c>
      <c r="AE200" s="1" t="s">
        <v>69</v>
      </c>
      <c r="AG200" s="1">
        <v>9989540</v>
      </c>
    </row>
    <row r="201" spans="1:33" s="1" customFormat="1" x14ac:dyDescent="0.25">
      <c r="C201" s="1" t="s">
        <v>1322</v>
      </c>
      <c r="D201" s="1" t="s">
        <v>1238</v>
      </c>
      <c r="E201" s="1" t="s">
        <v>1323</v>
      </c>
      <c r="F201" s="13" t="s">
        <v>6952</v>
      </c>
      <c r="G201" s="1" t="s">
        <v>1324</v>
      </c>
      <c r="H201" s="1" t="s">
        <v>1240</v>
      </c>
      <c r="I201" s="1">
        <v>172</v>
      </c>
      <c r="J201" s="1" t="s">
        <v>46</v>
      </c>
      <c r="M201" s="1" t="s">
        <v>169</v>
      </c>
      <c r="N201" s="1" t="s">
        <v>139</v>
      </c>
      <c r="O201" s="9">
        <v>22</v>
      </c>
      <c r="P201" s="1">
        <f>ROUNDUP(770*(1-$F$3),2)</f>
        <v>770</v>
      </c>
      <c r="Q201" s="1" t="s">
        <v>49</v>
      </c>
      <c r="R201" s="1" t="s">
        <v>1325</v>
      </c>
      <c r="S201" s="1" t="s">
        <v>1326</v>
      </c>
      <c r="T201" s="9">
        <v>10</v>
      </c>
      <c r="U201" s="1">
        <f>ROUNDUP(700*(1-$F$3),2)</f>
        <v>700</v>
      </c>
      <c r="V201" s="1">
        <v>132</v>
      </c>
      <c r="Y201" s="1" t="s">
        <v>1327</v>
      </c>
      <c r="Z201" s="1" t="s">
        <v>53</v>
      </c>
      <c r="AA201" s="12">
        <v>44592</v>
      </c>
      <c r="AB201" s="1" t="s">
        <v>66</v>
      </c>
      <c r="AC201" s="1" t="s">
        <v>1328</v>
      </c>
      <c r="AD201" s="1" t="s">
        <v>1329</v>
      </c>
      <c r="AE201" s="1" t="s">
        <v>69</v>
      </c>
      <c r="AG201" s="1">
        <v>10160480</v>
      </c>
    </row>
    <row r="202" spans="1:33" s="1" customFormat="1" x14ac:dyDescent="0.25">
      <c r="C202" s="1" t="s">
        <v>1330</v>
      </c>
      <c r="D202" s="1" t="s">
        <v>1238</v>
      </c>
      <c r="E202" s="1" t="s">
        <v>1331</v>
      </c>
      <c r="F202" s="13" t="s">
        <v>6952</v>
      </c>
      <c r="G202" s="1" t="s">
        <v>1324</v>
      </c>
      <c r="H202" s="1" t="s">
        <v>1240</v>
      </c>
      <c r="I202" s="1">
        <v>178</v>
      </c>
      <c r="J202" s="1" t="s">
        <v>46</v>
      </c>
      <c r="M202" s="1" t="s">
        <v>169</v>
      </c>
      <c r="N202" s="1" t="s">
        <v>139</v>
      </c>
      <c r="O202" s="9">
        <v>22</v>
      </c>
      <c r="P202" s="1">
        <f>ROUNDUP(770*(1-$F$3),2)</f>
        <v>770</v>
      </c>
      <c r="Q202" s="1" t="s">
        <v>49</v>
      </c>
      <c r="R202" s="1" t="s">
        <v>1332</v>
      </c>
      <c r="S202" s="1" t="s">
        <v>1333</v>
      </c>
      <c r="T202" s="9">
        <v>10</v>
      </c>
      <c r="U202" s="1">
        <f>ROUNDUP(700*(1-$F$3),2)</f>
        <v>700</v>
      </c>
      <c r="V202" s="1">
        <v>136</v>
      </c>
      <c r="Y202" s="1" t="s">
        <v>1334</v>
      </c>
      <c r="Z202" s="1" t="s">
        <v>53</v>
      </c>
      <c r="AA202" s="12">
        <v>44593</v>
      </c>
      <c r="AB202" s="1" t="s">
        <v>66</v>
      </c>
      <c r="AC202" s="1" t="s">
        <v>104</v>
      </c>
      <c r="AD202" s="1" t="s">
        <v>1335</v>
      </c>
      <c r="AE202" s="1" t="s">
        <v>69</v>
      </c>
      <c r="AG202" s="1">
        <v>10134210</v>
      </c>
    </row>
    <row r="203" spans="1:33" s="1" customFormat="1" x14ac:dyDescent="0.25">
      <c r="C203" s="1" t="s">
        <v>1336</v>
      </c>
      <c r="D203" s="1" t="s">
        <v>1238</v>
      </c>
      <c r="E203" s="1" t="s">
        <v>1337</v>
      </c>
      <c r="F203" s="13" t="s">
        <v>6952</v>
      </c>
      <c r="G203" s="1" t="s">
        <v>1338</v>
      </c>
      <c r="H203" s="1" t="s">
        <v>1240</v>
      </c>
      <c r="I203" s="1">
        <v>346</v>
      </c>
      <c r="J203" s="1" t="s">
        <v>46</v>
      </c>
      <c r="M203" s="1" t="s">
        <v>169</v>
      </c>
      <c r="N203" s="1" t="s">
        <v>139</v>
      </c>
      <c r="O203" s="9">
        <v>16</v>
      </c>
      <c r="P203" s="1">
        <f>ROUNDUP(1100*(1-$F$3),2)</f>
        <v>1100</v>
      </c>
      <c r="Q203" s="1" t="s">
        <v>49</v>
      </c>
      <c r="R203" s="1" t="s">
        <v>1339</v>
      </c>
      <c r="S203" s="1" t="s">
        <v>1340</v>
      </c>
      <c r="T203" s="9">
        <v>10</v>
      </c>
      <c r="U203" s="1">
        <f>ROUNDUP(1000*(1-$F$3),2)</f>
        <v>1000</v>
      </c>
      <c r="V203" s="1">
        <v>261</v>
      </c>
      <c r="Y203" s="1" t="s">
        <v>1341</v>
      </c>
      <c r="Z203" s="1" t="s">
        <v>53</v>
      </c>
      <c r="AA203" s="12">
        <v>44704</v>
      </c>
      <c r="AB203" s="1" t="s">
        <v>66</v>
      </c>
      <c r="AC203" s="1" t="s">
        <v>143</v>
      </c>
      <c r="AD203" s="1" t="s">
        <v>144</v>
      </c>
      <c r="AE203" s="1" t="s">
        <v>69</v>
      </c>
      <c r="AG203" s="1">
        <v>10266380</v>
      </c>
    </row>
    <row r="204" spans="1:33" s="11" customFormat="1" x14ac:dyDescent="0.25">
      <c r="A204" s="11" t="s">
        <v>6953</v>
      </c>
      <c r="C204" s="11" t="s">
        <v>1342</v>
      </c>
      <c r="D204" s="11" t="s">
        <v>1238</v>
      </c>
      <c r="E204" s="11" t="s">
        <v>1343</v>
      </c>
      <c r="F204" s="14" t="s">
        <v>6952</v>
      </c>
      <c r="G204" s="11" t="s">
        <v>1344</v>
      </c>
      <c r="H204" s="11" t="s">
        <v>1240</v>
      </c>
      <c r="I204" s="11">
        <v>270</v>
      </c>
      <c r="J204" s="11" t="s">
        <v>46</v>
      </c>
      <c r="M204" s="11" t="s">
        <v>62</v>
      </c>
      <c r="N204" s="11" t="s">
        <v>139</v>
      </c>
      <c r="O204" s="23">
        <v>20</v>
      </c>
      <c r="P204" s="11">
        <f>ROUNDUP(930*(1-$F$3),2)</f>
        <v>930</v>
      </c>
      <c r="Q204" s="11" t="s">
        <v>49</v>
      </c>
      <c r="R204" s="11" t="s">
        <v>1345</v>
      </c>
      <c r="S204" s="11" t="s">
        <v>1346</v>
      </c>
      <c r="T204" s="23">
        <v>10</v>
      </c>
      <c r="U204" s="11">
        <f>ROUNDUP(845.45*(1-$F$3),2)</f>
        <v>845.45</v>
      </c>
      <c r="V204" s="11">
        <v>201</v>
      </c>
      <c r="Y204" s="11" t="s">
        <v>1347</v>
      </c>
      <c r="Z204" s="11" t="s">
        <v>53</v>
      </c>
      <c r="AA204" s="15">
        <v>44595</v>
      </c>
      <c r="AB204" s="11" t="s">
        <v>66</v>
      </c>
      <c r="AC204" s="11" t="s">
        <v>77</v>
      </c>
      <c r="AD204" s="11" t="s">
        <v>605</v>
      </c>
      <c r="AE204" s="11" t="s">
        <v>69</v>
      </c>
      <c r="AG204" s="11">
        <v>9992840</v>
      </c>
    </row>
    <row r="205" spans="1:33" s="1" customFormat="1" x14ac:dyDescent="0.25">
      <c r="C205" s="1" t="s">
        <v>1348</v>
      </c>
      <c r="D205" s="1" t="s">
        <v>1238</v>
      </c>
      <c r="E205" s="1" t="s">
        <v>1349</v>
      </c>
      <c r="F205" s="13" t="s">
        <v>6952</v>
      </c>
      <c r="G205" s="1" t="s">
        <v>1350</v>
      </c>
      <c r="H205" s="1" t="s">
        <v>1240</v>
      </c>
      <c r="I205" s="1">
        <v>406</v>
      </c>
      <c r="J205" s="1" t="s">
        <v>46</v>
      </c>
      <c r="M205" s="1" t="s">
        <v>169</v>
      </c>
      <c r="N205" s="1" t="s">
        <v>139</v>
      </c>
      <c r="O205" s="9">
        <v>10</v>
      </c>
      <c r="P205" s="1">
        <f>ROUNDUP(940*(1-$F$3),2)</f>
        <v>940</v>
      </c>
      <c r="Q205" s="1" t="s">
        <v>49</v>
      </c>
      <c r="R205" s="1" t="s">
        <v>1351</v>
      </c>
      <c r="S205" s="1" t="s">
        <v>1352</v>
      </c>
      <c r="T205" s="9">
        <v>10</v>
      </c>
      <c r="U205" s="1">
        <f>ROUNDUP(854.55*(1-$F$3),2)</f>
        <v>854.55</v>
      </c>
      <c r="V205" s="1">
        <v>299</v>
      </c>
      <c r="Y205" s="1" t="s">
        <v>1353</v>
      </c>
      <c r="Z205" s="1" t="s">
        <v>53</v>
      </c>
      <c r="AA205" s="12">
        <v>44595</v>
      </c>
      <c r="AB205" s="1" t="s">
        <v>334</v>
      </c>
      <c r="AC205" s="1" t="s">
        <v>335</v>
      </c>
      <c r="AD205" s="1" t="s">
        <v>336</v>
      </c>
      <c r="AE205" s="1" t="s">
        <v>69</v>
      </c>
      <c r="AG205" s="1">
        <v>9972800</v>
      </c>
    </row>
    <row r="206" spans="1:33" s="1" customFormat="1" x14ac:dyDescent="0.25">
      <c r="C206" s="1" t="s">
        <v>1354</v>
      </c>
      <c r="D206" s="1" t="s">
        <v>1238</v>
      </c>
      <c r="E206" s="1" t="s">
        <v>1355</v>
      </c>
      <c r="F206" s="13" t="s">
        <v>6952</v>
      </c>
      <c r="G206" s="1" t="s">
        <v>1356</v>
      </c>
      <c r="H206" s="1" t="s">
        <v>1240</v>
      </c>
      <c r="I206" s="1">
        <v>280</v>
      </c>
      <c r="J206" s="1" t="s">
        <v>46</v>
      </c>
      <c r="M206" s="1" t="s">
        <v>62</v>
      </c>
      <c r="N206" s="1" t="s">
        <v>139</v>
      </c>
      <c r="O206" s="9">
        <v>10</v>
      </c>
      <c r="P206" s="1">
        <f>ROUNDUP(890*(1-$F$3),2)</f>
        <v>890</v>
      </c>
      <c r="Q206" s="1" t="s">
        <v>49</v>
      </c>
      <c r="R206" s="1" t="s">
        <v>1357</v>
      </c>
      <c r="S206" s="1" t="s">
        <v>1358</v>
      </c>
      <c r="T206" s="9">
        <v>22</v>
      </c>
      <c r="U206" s="1">
        <f>ROUNDUP(729.51*(1-$F$3),2)</f>
        <v>729.51</v>
      </c>
      <c r="V206" s="1">
        <v>157</v>
      </c>
      <c r="Y206" s="1" t="s">
        <v>1359</v>
      </c>
      <c r="Z206" s="1" t="s">
        <v>76</v>
      </c>
      <c r="AA206" s="12">
        <v>44473</v>
      </c>
      <c r="AB206" s="1" t="s">
        <v>66</v>
      </c>
      <c r="AC206" s="1" t="s">
        <v>77</v>
      </c>
      <c r="AD206" s="1" t="s">
        <v>1360</v>
      </c>
      <c r="AE206" s="1" t="s">
        <v>69</v>
      </c>
      <c r="AG206" s="1">
        <v>9793040</v>
      </c>
    </row>
    <row r="207" spans="1:33" s="1" customFormat="1" x14ac:dyDescent="0.25">
      <c r="C207" s="1" t="s">
        <v>1361</v>
      </c>
      <c r="D207" s="1" t="s">
        <v>1238</v>
      </c>
      <c r="E207" s="1" t="s">
        <v>1362</v>
      </c>
      <c r="F207" s="13" t="s">
        <v>6952</v>
      </c>
      <c r="G207" s="1" t="s">
        <v>1363</v>
      </c>
      <c r="H207" s="1" t="s">
        <v>1240</v>
      </c>
      <c r="I207" s="1">
        <v>396</v>
      </c>
      <c r="J207" s="1" t="s">
        <v>46</v>
      </c>
      <c r="M207" s="1" t="s">
        <v>169</v>
      </c>
      <c r="N207" s="1" t="s">
        <v>139</v>
      </c>
      <c r="O207" s="9">
        <v>10</v>
      </c>
      <c r="P207" s="1">
        <f>ROUNDUP(990*(1-$F$3),2)</f>
        <v>990</v>
      </c>
      <c r="Q207" s="1" t="s">
        <v>49</v>
      </c>
      <c r="R207" s="1" t="s">
        <v>1364</v>
      </c>
      <c r="S207" s="1" t="s">
        <v>1365</v>
      </c>
      <c r="T207" s="9">
        <v>10</v>
      </c>
      <c r="U207" s="1">
        <f>ROUNDUP(900*(1-$F$3),2)</f>
        <v>900</v>
      </c>
      <c r="V207" s="1">
        <v>289</v>
      </c>
      <c r="Y207" s="1" t="s">
        <v>1366</v>
      </c>
      <c r="Z207" s="1" t="s">
        <v>128</v>
      </c>
      <c r="AA207" s="12">
        <v>44592</v>
      </c>
      <c r="AB207" s="1" t="s">
        <v>66</v>
      </c>
      <c r="AC207" s="1" t="s">
        <v>683</v>
      </c>
      <c r="AD207" s="1" t="s">
        <v>684</v>
      </c>
      <c r="AE207" s="1" t="s">
        <v>69</v>
      </c>
      <c r="AG207" s="1">
        <v>10011850</v>
      </c>
    </row>
    <row r="208" spans="1:33" s="1" customFormat="1" x14ac:dyDescent="0.25">
      <c r="C208" s="1" t="s">
        <v>1367</v>
      </c>
      <c r="D208" s="1" t="s">
        <v>1238</v>
      </c>
      <c r="E208" s="1" t="s">
        <v>1368</v>
      </c>
      <c r="F208" s="13" t="s">
        <v>6952</v>
      </c>
      <c r="G208" s="1" t="s">
        <v>1369</v>
      </c>
      <c r="H208" s="1" t="s">
        <v>1240</v>
      </c>
      <c r="I208" s="1">
        <v>188</v>
      </c>
      <c r="J208" s="1" t="s">
        <v>46</v>
      </c>
      <c r="M208" s="1" t="s">
        <v>176</v>
      </c>
      <c r="N208" s="1" t="s">
        <v>139</v>
      </c>
      <c r="O208" s="9">
        <v>24</v>
      </c>
      <c r="P208" s="1">
        <f>ROUNDUP(830*(1-$F$3),2)</f>
        <v>830</v>
      </c>
      <c r="Q208" s="1" t="s">
        <v>49</v>
      </c>
      <c r="R208" s="1" t="s">
        <v>1370</v>
      </c>
      <c r="S208" s="1" t="s">
        <v>1371</v>
      </c>
      <c r="T208" s="9">
        <v>10</v>
      </c>
      <c r="U208" s="1">
        <f>ROUNDUP(754.55*(1-$F$3),2)</f>
        <v>754.55</v>
      </c>
      <c r="V208" s="1">
        <v>175</v>
      </c>
      <c r="Y208" s="1" t="s">
        <v>1372</v>
      </c>
      <c r="Z208" s="1" t="s">
        <v>128</v>
      </c>
      <c r="AA208" s="12">
        <v>44473</v>
      </c>
      <c r="AB208" s="1" t="s">
        <v>66</v>
      </c>
      <c r="AC208" s="1" t="s">
        <v>143</v>
      </c>
      <c r="AD208" s="1" t="s">
        <v>144</v>
      </c>
      <c r="AE208" s="1" t="s">
        <v>69</v>
      </c>
      <c r="AG208" s="1">
        <v>9769370</v>
      </c>
    </row>
    <row r="209" spans="1:33" s="1" customFormat="1" x14ac:dyDescent="0.25">
      <c r="C209" s="1" t="s">
        <v>1373</v>
      </c>
      <c r="D209" s="1" t="s">
        <v>1238</v>
      </c>
      <c r="E209" s="1" t="s">
        <v>1374</v>
      </c>
      <c r="F209" s="13" t="s">
        <v>6952</v>
      </c>
      <c r="G209" s="1" t="s">
        <v>1375</v>
      </c>
      <c r="H209" s="1" t="s">
        <v>1240</v>
      </c>
      <c r="I209" s="1">
        <v>184</v>
      </c>
      <c r="J209" s="1" t="s">
        <v>46</v>
      </c>
      <c r="M209" s="1" t="s">
        <v>176</v>
      </c>
      <c r="N209" s="1" t="s">
        <v>139</v>
      </c>
      <c r="O209" s="9">
        <v>24</v>
      </c>
      <c r="P209" s="1">
        <f>ROUNDUP(830*(1-$F$3),2)</f>
        <v>830</v>
      </c>
      <c r="Q209" s="1" t="s">
        <v>49</v>
      </c>
      <c r="R209" s="1" t="s">
        <v>1376</v>
      </c>
      <c r="S209" s="1" t="s">
        <v>1377</v>
      </c>
      <c r="T209" s="9">
        <v>10</v>
      </c>
      <c r="U209" s="1">
        <f>ROUNDUP(754.55*(1-$F$3),2)</f>
        <v>754.55</v>
      </c>
      <c r="V209" s="1">
        <v>171</v>
      </c>
      <c r="Y209" s="1" t="s">
        <v>1378</v>
      </c>
      <c r="Z209" s="1" t="s">
        <v>53</v>
      </c>
      <c r="AA209" s="12">
        <v>44473</v>
      </c>
      <c r="AB209" s="1" t="s">
        <v>66</v>
      </c>
      <c r="AC209" s="1" t="s">
        <v>1328</v>
      </c>
      <c r="AD209" s="1" t="s">
        <v>1329</v>
      </c>
      <c r="AE209" s="1" t="s">
        <v>69</v>
      </c>
      <c r="AG209" s="1">
        <v>9794380</v>
      </c>
    </row>
    <row r="210" spans="1:33" s="11" customFormat="1" x14ac:dyDescent="0.25">
      <c r="A210" s="11" t="s">
        <v>6953</v>
      </c>
      <c r="C210" s="11" t="s">
        <v>1379</v>
      </c>
      <c r="D210" s="11" t="s">
        <v>1238</v>
      </c>
      <c r="E210" s="11" t="s">
        <v>1380</v>
      </c>
      <c r="F210" s="14" t="s">
        <v>6952</v>
      </c>
      <c r="G210" s="11" t="s">
        <v>1381</v>
      </c>
      <c r="H210" s="11" t="s">
        <v>1240</v>
      </c>
      <c r="I210" s="11">
        <v>200</v>
      </c>
      <c r="J210" s="11" t="s">
        <v>46</v>
      </c>
      <c r="M210" s="11" t="s">
        <v>62</v>
      </c>
      <c r="N210" s="11" t="s">
        <v>139</v>
      </c>
      <c r="O210" s="23">
        <v>20</v>
      </c>
      <c r="P210" s="11">
        <f>ROUNDUP(790*(1-$F$3),2)</f>
        <v>790</v>
      </c>
      <c r="Q210" s="11" t="s">
        <v>49</v>
      </c>
      <c r="R210" s="11" t="s">
        <v>1382</v>
      </c>
      <c r="S210" s="11" t="s">
        <v>1383</v>
      </c>
      <c r="T210" s="23">
        <v>10</v>
      </c>
      <c r="U210" s="11">
        <f>ROUNDUP(718.18*(1-$F$3),2)</f>
        <v>718.18</v>
      </c>
      <c r="V210" s="11">
        <v>182</v>
      </c>
      <c r="Y210" s="11" t="s">
        <v>1384</v>
      </c>
      <c r="Z210" s="11" t="s">
        <v>128</v>
      </c>
      <c r="AA210" s="15">
        <v>43132</v>
      </c>
      <c r="AB210" s="11" t="s">
        <v>95</v>
      </c>
      <c r="AC210" s="11" t="s">
        <v>96</v>
      </c>
      <c r="AD210" s="11" t="s">
        <v>1385</v>
      </c>
      <c r="AE210" s="11" t="s">
        <v>69</v>
      </c>
      <c r="AG210" s="11">
        <v>8461780</v>
      </c>
    </row>
    <row r="211" spans="1:33" s="11" customFormat="1" x14ac:dyDescent="0.25">
      <c r="A211" s="11" t="s">
        <v>6953</v>
      </c>
      <c r="C211" s="11" t="s">
        <v>1386</v>
      </c>
      <c r="D211" s="11" t="s">
        <v>1238</v>
      </c>
      <c r="E211" s="11" t="s">
        <v>1387</v>
      </c>
      <c r="F211" s="14" t="s">
        <v>6952</v>
      </c>
      <c r="G211" s="11" t="s">
        <v>1388</v>
      </c>
      <c r="H211" s="11" t="s">
        <v>1240</v>
      </c>
      <c r="I211" s="11">
        <v>450</v>
      </c>
      <c r="J211" s="11" t="s">
        <v>46</v>
      </c>
      <c r="M211" s="11" t="s">
        <v>62</v>
      </c>
      <c r="N211" s="11" t="s">
        <v>139</v>
      </c>
      <c r="O211" s="23">
        <v>15</v>
      </c>
      <c r="P211" s="11">
        <f>ROUNDUP(1250*(1-$F$3),2)</f>
        <v>1250</v>
      </c>
      <c r="Q211" s="11" t="s">
        <v>49</v>
      </c>
      <c r="R211" s="11" t="s">
        <v>1389</v>
      </c>
      <c r="S211" s="11" t="s">
        <v>1390</v>
      </c>
      <c r="T211" s="23">
        <v>10</v>
      </c>
      <c r="U211" s="11">
        <f>ROUNDUP(1136.36*(1-$F$3),2)</f>
        <v>1136.3599999999999</v>
      </c>
      <c r="V211" s="11">
        <v>328</v>
      </c>
      <c r="Y211" s="11" t="s">
        <v>1391</v>
      </c>
      <c r="Z211" s="11" t="s">
        <v>128</v>
      </c>
      <c r="AA211" s="15">
        <v>43244</v>
      </c>
      <c r="AB211" s="11" t="s">
        <v>95</v>
      </c>
      <c r="AC211" s="11" t="s">
        <v>96</v>
      </c>
      <c r="AD211" s="11" t="s">
        <v>912</v>
      </c>
      <c r="AE211" s="11" t="s">
        <v>69</v>
      </c>
      <c r="AG211" s="11">
        <v>8621150</v>
      </c>
    </row>
    <row r="212" spans="1:33" s="1" customFormat="1" x14ac:dyDescent="0.25">
      <c r="C212" s="1" t="s">
        <v>1392</v>
      </c>
      <c r="D212" s="1" t="s">
        <v>1238</v>
      </c>
      <c r="E212" s="1" t="s">
        <v>1393</v>
      </c>
      <c r="F212" s="13" t="s">
        <v>6952</v>
      </c>
      <c r="G212" s="1" t="s">
        <v>1394</v>
      </c>
      <c r="H212" s="1" t="s">
        <v>1240</v>
      </c>
      <c r="I212" s="1">
        <v>270</v>
      </c>
      <c r="J212" s="1" t="s">
        <v>46</v>
      </c>
      <c r="M212" s="1" t="s">
        <v>47</v>
      </c>
      <c r="N212" s="1" t="s">
        <v>139</v>
      </c>
      <c r="O212" s="9">
        <v>8</v>
      </c>
      <c r="P212" s="1">
        <f>ROUNDUP(830*(1-$F$3),2)</f>
        <v>830</v>
      </c>
      <c r="Q212" s="1" t="s">
        <v>49</v>
      </c>
      <c r="R212" s="1" t="s">
        <v>1395</v>
      </c>
      <c r="S212" s="1" t="s">
        <v>1396</v>
      </c>
      <c r="T212" s="9">
        <v>10</v>
      </c>
      <c r="U212" s="1">
        <f>ROUNDUP(754.55*(1-$F$3),2)</f>
        <v>754.55</v>
      </c>
      <c r="V212" s="1">
        <v>204</v>
      </c>
      <c r="Y212" s="1" t="s">
        <v>1397</v>
      </c>
      <c r="Z212" s="1" t="s">
        <v>128</v>
      </c>
      <c r="AA212" s="12">
        <v>44316</v>
      </c>
      <c r="AB212" s="1" t="s">
        <v>334</v>
      </c>
      <c r="AC212" s="1" t="s">
        <v>335</v>
      </c>
      <c r="AD212" s="1" t="s">
        <v>1398</v>
      </c>
      <c r="AE212" s="1" t="s">
        <v>69</v>
      </c>
      <c r="AG212" s="1">
        <v>9675530</v>
      </c>
    </row>
    <row r="213" spans="1:33" s="1" customFormat="1" x14ac:dyDescent="0.25">
      <c r="C213" s="1" t="s">
        <v>1399</v>
      </c>
      <c r="D213" s="1" t="s">
        <v>1238</v>
      </c>
      <c r="E213" s="1" t="s">
        <v>1400</v>
      </c>
      <c r="F213" s="13" t="s">
        <v>6952</v>
      </c>
      <c r="G213" s="1" t="s">
        <v>1401</v>
      </c>
      <c r="H213" s="1" t="s">
        <v>1240</v>
      </c>
      <c r="I213" s="1">
        <v>230</v>
      </c>
      <c r="J213" s="1" t="s">
        <v>46</v>
      </c>
      <c r="M213" s="1" t="s">
        <v>169</v>
      </c>
      <c r="N213" s="1" t="s">
        <v>139</v>
      </c>
      <c r="O213" s="9">
        <v>20</v>
      </c>
      <c r="P213" s="1">
        <f>ROUNDUP(910*(1-$F$3),2)</f>
        <v>910</v>
      </c>
      <c r="Q213" s="1" t="s">
        <v>49</v>
      </c>
      <c r="R213" s="1" t="s">
        <v>1402</v>
      </c>
      <c r="S213" s="1" t="s">
        <v>1403</v>
      </c>
      <c r="T213" s="9">
        <v>10</v>
      </c>
      <c r="U213" s="1">
        <f>ROUNDUP(827.27*(1-$F$3),2)</f>
        <v>827.27</v>
      </c>
      <c r="V213" s="1">
        <v>203</v>
      </c>
      <c r="Y213" s="1" t="s">
        <v>1404</v>
      </c>
      <c r="Z213" s="1" t="s">
        <v>128</v>
      </c>
      <c r="AA213" s="12">
        <v>44676</v>
      </c>
      <c r="AB213" s="1" t="s">
        <v>66</v>
      </c>
      <c r="AC213" s="1" t="s">
        <v>67</v>
      </c>
      <c r="AD213" s="1" t="s">
        <v>68</v>
      </c>
      <c r="AE213" s="1" t="s">
        <v>69</v>
      </c>
      <c r="AG213" s="1">
        <v>10229420</v>
      </c>
    </row>
    <row r="214" spans="1:33" s="1" customFormat="1" x14ac:dyDescent="0.25">
      <c r="C214" s="1" t="s">
        <v>1405</v>
      </c>
      <c r="D214" s="1" t="s">
        <v>1238</v>
      </c>
      <c r="E214" s="1" t="s">
        <v>1406</v>
      </c>
      <c r="F214" s="13" t="s">
        <v>6952</v>
      </c>
      <c r="G214" s="1" t="s">
        <v>1407</v>
      </c>
      <c r="H214" s="1" t="s">
        <v>1240</v>
      </c>
      <c r="I214" s="1">
        <v>214</v>
      </c>
      <c r="J214" s="1" t="s">
        <v>46</v>
      </c>
      <c r="M214" s="1" t="s">
        <v>62</v>
      </c>
      <c r="N214" s="1" t="s">
        <v>139</v>
      </c>
      <c r="O214" s="9">
        <v>18</v>
      </c>
      <c r="P214" s="1">
        <f>ROUNDUP(790*(1-$F$3),2)</f>
        <v>790</v>
      </c>
      <c r="Q214" s="1" t="s">
        <v>49</v>
      </c>
      <c r="R214" s="1" t="s">
        <v>1408</v>
      </c>
      <c r="S214" s="1" t="s">
        <v>1409</v>
      </c>
      <c r="T214" s="9">
        <v>10</v>
      </c>
      <c r="U214" s="1">
        <f>ROUNDUP(718.18*(1-$F$3),2)</f>
        <v>718.18</v>
      </c>
      <c r="V214" s="1">
        <v>192</v>
      </c>
      <c r="Y214" s="1" t="s">
        <v>1410</v>
      </c>
      <c r="Z214" s="1" t="s">
        <v>128</v>
      </c>
      <c r="AA214" s="12">
        <v>43150</v>
      </c>
      <c r="AB214" s="1" t="s">
        <v>66</v>
      </c>
      <c r="AC214" s="1" t="s">
        <v>104</v>
      </c>
      <c r="AD214" s="1" t="s">
        <v>1335</v>
      </c>
      <c r="AE214" s="1" t="s">
        <v>69</v>
      </c>
      <c r="AG214" s="1">
        <v>8483070</v>
      </c>
    </row>
    <row r="215" spans="1:33" s="1" customFormat="1" x14ac:dyDescent="0.25">
      <c r="C215" s="1" t="s">
        <v>1411</v>
      </c>
      <c r="D215" s="1" t="s">
        <v>1238</v>
      </c>
      <c r="E215" s="1" t="s">
        <v>966</v>
      </c>
      <c r="F215" s="13" t="s">
        <v>6952</v>
      </c>
      <c r="G215" s="1" t="s">
        <v>503</v>
      </c>
      <c r="H215" s="1" t="s">
        <v>1240</v>
      </c>
      <c r="I215" s="1">
        <v>368</v>
      </c>
      <c r="J215" s="1" t="s">
        <v>46</v>
      </c>
      <c r="M215" s="1" t="s">
        <v>47</v>
      </c>
      <c r="N215" s="1" t="s">
        <v>139</v>
      </c>
      <c r="O215" s="9">
        <v>7</v>
      </c>
      <c r="P215" s="1">
        <f>ROUNDUP(1040*(1-$F$3),2)</f>
        <v>1040</v>
      </c>
      <c r="Q215" s="1" t="s">
        <v>49</v>
      </c>
      <c r="R215" s="1" t="s">
        <v>1412</v>
      </c>
      <c r="S215" s="1" t="s">
        <v>1413</v>
      </c>
      <c r="T215" s="9">
        <v>22</v>
      </c>
      <c r="U215" s="1">
        <f>ROUNDUP(852.46*(1-$F$3),2)</f>
        <v>852.46</v>
      </c>
      <c r="V215" s="1">
        <v>268</v>
      </c>
      <c r="Y215" s="1" t="s">
        <v>969</v>
      </c>
      <c r="Z215" s="1" t="s">
        <v>128</v>
      </c>
      <c r="AA215" s="12">
        <v>44592</v>
      </c>
      <c r="AB215" s="1" t="s">
        <v>286</v>
      </c>
      <c r="AC215" s="1" t="s">
        <v>320</v>
      </c>
      <c r="AD215" s="1" t="s">
        <v>970</v>
      </c>
      <c r="AE215" s="1" t="s">
        <v>69</v>
      </c>
      <c r="AG215" s="1">
        <v>10233690</v>
      </c>
    </row>
    <row r="216" spans="1:33" s="1" customFormat="1" x14ac:dyDescent="0.25">
      <c r="C216" s="1" t="s">
        <v>1414</v>
      </c>
      <c r="D216" s="1" t="s">
        <v>1238</v>
      </c>
      <c r="E216" s="1" t="s">
        <v>1415</v>
      </c>
      <c r="F216" s="13" t="s">
        <v>6952</v>
      </c>
      <c r="G216" s="1" t="s">
        <v>1416</v>
      </c>
      <c r="H216" s="1" t="s">
        <v>1240</v>
      </c>
      <c r="I216" s="1">
        <v>314</v>
      </c>
      <c r="J216" s="1" t="s">
        <v>46</v>
      </c>
      <c r="K216" s="1" t="s">
        <v>1417</v>
      </c>
      <c r="M216" s="1" t="s">
        <v>62</v>
      </c>
      <c r="N216" s="1" t="s">
        <v>139</v>
      </c>
      <c r="O216" s="9">
        <v>20</v>
      </c>
      <c r="P216" s="1">
        <f>ROUNDUP(960*(1-$F$3),2)</f>
        <v>960</v>
      </c>
      <c r="Q216" s="1" t="s">
        <v>49</v>
      </c>
      <c r="R216" s="1" t="s">
        <v>1418</v>
      </c>
      <c r="S216" s="1" t="s">
        <v>1419</v>
      </c>
      <c r="T216" s="9">
        <v>10</v>
      </c>
      <c r="U216" s="1">
        <f>ROUNDUP(872.73*(1-$F$3),2)</f>
        <v>872.73</v>
      </c>
      <c r="V216" s="1">
        <v>256</v>
      </c>
      <c r="Y216" s="1" t="s">
        <v>1420</v>
      </c>
      <c r="Z216" s="1" t="s">
        <v>128</v>
      </c>
      <c r="AA216" s="12">
        <v>43447</v>
      </c>
      <c r="AB216" s="1" t="s">
        <v>95</v>
      </c>
      <c r="AC216" s="1" t="s">
        <v>96</v>
      </c>
      <c r="AD216" s="1" t="s">
        <v>1385</v>
      </c>
      <c r="AE216" s="1" t="s">
        <v>69</v>
      </c>
      <c r="AG216" s="1">
        <v>8852280</v>
      </c>
    </row>
    <row r="217" spans="1:33" s="1" customFormat="1" x14ac:dyDescent="0.25">
      <c r="C217" s="1" t="s">
        <v>1421</v>
      </c>
      <c r="D217" s="1" t="s">
        <v>1238</v>
      </c>
      <c r="E217" s="1" t="s">
        <v>1422</v>
      </c>
      <c r="F217" s="13" t="s">
        <v>6952</v>
      </c>
      <c r="G217" s="1" t="s">
        <v>1423</v>
      </c>
      <c r="H217" s="1" t="s">
        <v>1240</v>
      </c>
      <c r="I217" s="1">
        <v>180</v>
      </c>
      <c r="J217" s="1" t="s">
        <v>46</v>
      </c>
      <c r="M217" s="1" t="s">
        <v>62</v>
      </c>
      <c r="N217" s="1" t="s">
        <v>139</v>
      </c>
      <c r="O217" s="9">
        <v>20</v>
      </c>
      <c r="P217" s="1">
        <f>ROUNDUP(649*(1-$F$3),2)</f>
        <v>649</v>
      </c>
      <c r="Q217" s="1" t="s">
        <v>49</v>
      </c>
      <c r="R217" s="1" t="s">
        <v>1424</v>
      </c>
      <c r="S217" s="1" t="s">
        <v>1425</v>
      </c>
      <c r="T217" s="9">
        <v>10</v>
      </c>
      <c r="U217" s="1">
        <f>ROUNDUP(590*(1-$F$3),2)</f>
        <v>590</v>
      </c>
      <c r="V217" s="1">
        <v>162</v>
      </c>
      <c r="Y217" s="1" t="s">
        <v>1426</v>
      </c>
      <c r="Z217" s="1" t="s">
        <v>128</v>
      </c>
      <c r="AA217" s="12">
        <v>44473</v>
      </c>
      <c r="AB217" s="1" t="s">
        <v>234</v>
      </c>
      <c r="AC217" s="1" t="s">
        <v>235</v>
      </c>
      <c r="AD217" s="1" t="s">
        <v>236</v>
      </c>
      <c r="AE217" s="1" t="s">
        <v>69</v>
      </c>
      <c r="AG217" s="1">
        <v>9735250</v>
      </c>
    </row>
    <row r="218" spans="1:33" s="1" customFormat="1" x14ac:dyDescent="0.25">
      <c r="C218" s="1" t="s">
        <v>1427</v>
      </c>
      <c r="D218" s="1" t="s">
        <v>1238</v>
      </c>
      <c r="E218" s="1" t="s">
        <v>1428</v>
      </c>
      <c r="F218" s="13" t="s">
        <v>6952</v>
      </c>
      <c r="G218" s="1" t="s">
        <v>1429</v>
      </c>
      <c r="H218" s="1" t="s">
        <v>1240</v>
      </c>
      <c r="I218" s="1">
        <v>346</v>
      </c>
      <c r="J218" s="1" t="s">
        <v>46</v>
      </c>
      <c r="M218" s="1" t="s">
        <v>176</v>
      </c>
      <c r="N218" s="1" t="s">
        <v>139</v>
      </c>
      <c r="O218" s="9">
        <v>14</v>
      </c>
      <c r="P218" s="1">
        <f>ROUNDUP(930*(1-$F$3),2)</f>
        <v>930</v>
      </c>
      <c r="Q218" s="1" t="s">
        <v>49</v>
      </c>
      <c r="R218" s="1" t="s">
        <v>1430</v>
      </c>
      <c r="S218" s="1" t="s">
        <v>1431</v>
      </c>
      <c r="T218" s="9">
        <v>10</v>
      </c>
      <c r="U218" s="1">
        <f>ROUNDUP(845.45*(1-$F$3),2)</f>
        <v>845.45</v>
      </c>
      <c r="V218" s="1">
        <v>256</v>
      </c>
      <c r="Y218" s="1" t="s">
        <v>1432</v>
      </c>
      <c r="Z218" s="1" t="s">
        <v>128</v>
      </c>
      <c r="AA218" s="12">
        <v>44363</v>
      </c>
      <c r="AB218" s="1" t="s">
        <v>66</v>
      </c>
      <c r="AC218" s="1" t="s">
        <v>77</v>
      </c>
      <c r="AD218" s="1" t="s">
        <v>1360</v>
      </c>
      <c r="AE218" s="1" t="s">
        <v>69</v>
      </c>
      <c r="AG218" s="1">
        <v>9679010</v>
      </c>
    </row>
    <row r="219" spans="1:33" s="1" customFormat="1" x14ac:dyDescent="0.25">
      <c r="C219" s="1" t="s">
        <v>1433</v>
      </c>
      <c r="D219" s="1" t="s">
        <v>1238</v>
      </c>
      <c r="E219" s="1" t="s">
        <v>1434</v>
      </c>
      <c r="F219" s="13" t="s">
        <v>6952</v>
      </c>
      <c r="G219" s="1" t="s">
        <v>1435</v>
      </c>
      <c r="H219" s="1" t="s">
        <v>1240</v>
      </c>
      <c r="I219" s="1">
        <v>296</v>
      </c>
      <c r="J219" s="1" t="s">
        <v>46</v>
      </c>
      <c r="M219" s="1" t="s">
        <v>176</v>
      </c>
      <c r="N219" s="1" t="s">
        <v>139</v>
      </c>
      <c r="O219" s="9">
        <v>18</v>
      </c>
      <c r="P219" s="1">
        <f>ROUNDUP(950*(1-$F$3),2)</f>
        <v>950</v>
      </c>
      <c r="Q219" s="1" t="s">
        <v>49</v>
      </c>
      <c r="R219" s="1" t="s">
        <v>1436</v>
      </c>
      <c r="S219" s="1" t="s">
        <v>1437</v>
      </c>
      <c r="T219" s="9">
        <v>10</v>
      </c>
      <c r="U219" s="1">
        <f>ROUNDUP(863.64*(1-$F$3),2)</f>
        <v>863.64</v>
      </c>
      <c r="V219" s="1">
        <v>217</v>
      </c>
      <c r="Y219" s="1" t="s">
        <v>1438</v>
      </c>
      <c r="Z219" s="1" t="s">
        <v>128</v>
      </c>
      <c r="AA219" s="12">
        <v>44445</v>
      </c>
      <c r="AB219" s="1" t="s">
        <v>573</v>
      </c>
      <c r="AC219" s="1" t="s">
        <v>1439</v>
      </c>
      <c r="AD219" s="1" t="s">
        <v>1440</v>
      </c>
      <c r="AE219" s="1" t="s">
        <v>69</v>
      </c>
      <c r="AG219" s="1">
        <v>9859450</v>
      </c>
    </row>
    <row r="220" spans="1:33" s="1" customFormat="1" x14ac:dyDescent="0.25">
      <c r="C220" s="1" t="s">
        <v>1441</v>
      </c>
      <c r="D220" s="1" t="s">
        <v>1238</v>
      </c>
      <c r="E220" s="1" t="s">
        <v>1442</v>
      </c>
      <c r="F220" s="13" t="s">
        <v>6952</v>
      </c>
      <c r="G220" s="1" t="s">
        <v>1443</v>
      </c>
      <c r="H220" s="1" t="s">
        <v>1240</v>
      </c>
      <c r="I220" s="1">
        <v>254</v>
      </c>
      <c r="J220" s="1" t="s">
        <v>46</v>
      </c>
      <c r="M220" s="1" t="s">
        <v>176</v>
      </c>
      <c r="N220" s="1" t="s">
        <v>139</v>
      </c>
      <c r="O220" s="9">
        <v>18</v>
      </c>
      <c r="P220" s="1">
        <f>ROUNDUP(950*(1-$F$3),2)</f>
        <v>950</v>
      </c>
      <c r="Q220" s="1" t="s">
        <v>49</v>
      </c>
      <c r="R220" s="1" t="s">
        <v>1444</v>
      </c>
      <c r="S220" s="1" t="s">
        <v>1445</v>
      </c>
      <c r="T220" s="9">
        <v>10</v>
      </c>
      <c r="U220" s="1">
        <f>ROUNDUP(863.64*(1-$F$3),2)</f>
        <v>863.64</v>
      </c>
      <c r="V220" s="1">
        <v>225</v>
      </c>
      <c r="Y220" s="1" t="s">
        <v>1446</v>
      </c>
      <c r="Z220" s="1" t="s">
        <v>53</v>
      </c>
      <c r="AA220" s="12">
        <v>44676</v>
      </c>
      <c r="AB220" s="1" t="s">
        <v>95</v>
      </c>
      <c r="AC220" s="1" t="s">
        <v>96</v>
      </c>
      <c r="AD220" s="1" t="s">
        <v>1385</v>
      </c>
      <c r="AE220" s="1" t="s">
        <v>69</v>
      </c>
      <c r="AG220" s="1">
        <v>10409370</v>
      </c>
    </row>
    <row r="221" spans="1:33" s="11" customFormat="1" x14ac:dyDescent="0.25">
      <c r="A221" s="11" t="s">
        <v>6953</v>
      </c>
      <c r="C221" s="11" t="s">
        <v>1447</v>
      </c>
      <c r="D221" s="11" t="s">
        <v>1238</v>
      </c>
      <c r="E221" s="11" t="s">
        <v>1448</v>
      </c>
      <c r="F221" s="14" t="s">
        <v>6952</v>
      </c>
      <c r="G221" s="11" t="s">
        <v>1449</v>
      </c>
      <c r="H221" s="11" t="s">
        <v>1240</v>
      </c>
      <c r="I221" s="11">
        <v>366</v>
      </c>
      <c r="J221" s="11" t="s">
        <v>46</v>
      </c>
      <c r="M221" s="11" t="s">
        <v>62</v>
      </c>
      <c r="N221" s="11" t="s">
        <v>139</v>
      </c>
      <c r="O221" s="23">
        <v>10</v>
      </c>
      <c r="P221" s="11">
        <f>ROUNDUP(1040*(1-$F$3),2)</f>
        <v>1040</v>
      </c>
      <c r="Q221" s="11" t="s">
        <v>49</v>
      </c>
      <c r="R221" s="11" t="s">
        <v>1450</v>
      </c>
      <c r="S221" s="11" t="s">
        <v>1451</v>
      </c>
      <c r="T221" s="23">
        <v>22</v>
      </c>
      <c r="U221" s="11">
        <f>ROUNDUP(852.46*(1-$F$3),2)</f>
        <v>852.46</v>
      </c>
      <c r="V221" s="11">
        <v>256</v>
      </c>
      <c r="Y221" s="11" t="s">
        <v>1452</v>
      </c>
      <c r="Z221" s="11" t="s">
        <v>76</v>
      </c>
      <c r="AA221" s="15">
        <v>44473</v>
      </c>
      <c r="AB221" s="11" t="s">
        <v>66</v>
      </c>
      <c r="AC221" s="11" t="s">
        <v>143</v>
      </c>
      <c r="AD221" s="11" t="s">
        <v>144</v>
      </c>
      <c r="AE221" s="11" t="s">
        <v>69</v>
      </c>
      <c r="AG221" s="11">
        <v>9942710</v>
      </c>
    </row>
    <row r="222" spans="1:33" s="1" customFormat="1" x14ac:dyDescent="0.25">
      <c r="C222" s="1" t="s">
        <v>1453</v>
      </c>
      <c r="D222" s="1" t="s">
        <v>1238</v>
      </c>
      <c r="E222" s="1" t="s">
        <v>1454</v>
      </c>
      <c r="F222" s="13" t="s">
        <v>6952</v>
      </c>
      <c r="G222" s="1" t="s">
        <v>1455</v>
      </c>
      <c r="H222" s="1" t="s">
        <v>1240</v>
      </c>
      <c r="I222" s="1">
        <v>212</v>
      </c>
      <c r="J222" s="1" t="s">
        <v>46</v>
      </c>
      <c r="M222" s="1" t="s">
        <v>756</v>
      </c>
      <c r="N222" s="1" t="s">
        <v>139</v>
      </c>
      <c r="O222" s="9">
        <v>18</v>
      </c>
      <c r="P222" s="1">
        <f>ROUNDUP(850*(1-$F$3),2)</f>
        <v>850</v>
      </c>
      <c r="Q222" s="1" t="s">
        <v>49</v>
      </c>
      <c r="R222" s="1" t="s">
        <v>1456</v>
      </c>
      <c r="S222" s="1" t="s">
        <v>1457</v>
      </c>
      <c r="T222" s="9">
        <v>10</v>
      </c>
      <c r="U222" s="1">
        <f>ROUNDUP(772.73*(1-$F$3),2)</f>
        <v>772.73</v>
      </c>
      <c r="V222" s="1">
        <v>164</v>
      </c>
      <c r="Y222" s="1" t="s">
        <v>1458</v>
      </c>
      <c r="Z222" s="1" t="s">
        <v>53</v>
      </c>
      <c r="AA222" s="12">
        <v>44445</v>
      </c>
      <c r="AB222" s="1" t="s">
        <v>66</v>
      </c>
      <c r="AC222" s="1" t="s">
        <v>491</v>
      </c>
      <c r="AD222" s="1" t="s">
        <v>492</v>
      </c>
      <c r="AE222" s="1" t="s">
        <v>69</v>
      </c>
      <c r="AG222" s="1">
        <v>9821490</v>
      </c>
    </row>
    <row r="223" spans="1:33" s="1" customFormat="1" x14ac:dyDescent="0.25">
      <c r="C223" s="1" t="s">
        <v>1459</v>
      </c>
      <c r="D223" s="1" t="s">
        <v>1238</v>
      </c>
      <c r="E223" s="1" t="s">
        <v>978</v>
      </c>
      <c r="F223" s="13" t="s">
        <v>6952</v>
      </c>
      <c r="G223" s="1" t="s">
        <v>979</v>
      </c>
      <c r="H223" s="1" t="s">
        <v>1240</v>
      </c>
      <c r="I223" s="1">
        <v>544</v>
      </c>
      <c r="J223" s="1" t="s">
        <v>46</v>
      </c>
      <c r="M223" s="1" t="s">
        <v>47</v>
      </c>
      <c r="N223" s="1" t="s">
        <v>139</v>
      </c>
      <c r="O223" s="9">
        <v>3</v>
      </c>
      <c r="P223" s="1">
        <f>ROUNDUP(1360*(1-$F$3),2)</f>
        <v>1360</v>
      </c>
      <c r="Q223" s="1" t="s">
        <v>49</v>
      </c>
      <c r="R223" s="1" t="s">
        <v>1460</v>
      </c>
      <c r="S223" s="1" t="s">
        <v>1461</v>
      </c>
      <c r="T223" s="9">
        <v>10</v>
      </c>
      <c r="U223" s="1">
        <f>ROUNDUP(1236.36*(1-$F$3),2)</f>
        <v>1236.3599999999999</v>
      </c>
      <c r="V223" s="1">
        <v>398</v>
      </c>
      <c r="Y223" s="1" t="s">
        <v>982</v>
      </c>
      <c r="Z223" s="1" t="s">
        <v>53</v>
      </c>
      <c r="AA223" s="12">
        <v>44476</v>
      </c>
      <c r="AB223" s="1" t="s">
        <v>66</v>
      </c>
      <c r="AC223" s="1" t="s">
        <v>143</v>
      </c>
      <c r="AD223" s="1" t="s">
        <v>847</v>
      </c>
      <c r="AE223" s="1" t="s">
        <v>69</v>
      </c>
      <c r="AG223" s="1">
        <v>9793830</v>
      </c>
    </row>
    <row r="224" spans="1:33" s="1" customFormat="1" x14ac:dyDescent="0.25">
      <c r="C224" s="1" t="s">
        <v>1462</v>
      </c>
      <c r="D224" s="1" t="s">
        <v>1238</v>
      </c>
      <c r="E224" s="1" t="s">
        <v>1463</v>
      </c>
      <c r="F224" s="13" t="s">
        <v>6952</v>
      </c>
      <c r="G224" s="1" t="s">
        <v>1464</v>
      </c>
      <c r="H224" s="1" t="s">
        <v>1240</v>
      </c>
      <c r="I224" s="1">
        <v>388</v>
      </c>
      <c r="J224" s="1" t="s">
        <v>46</v>
      </c>
      <c r="M224" s="1" t="s">
        <v>161</v>
      </c>
      <c r="N224" s="1" t="s">
        <v>139</v>
      </c>
      <c r="O224" s="9">
        <v>14</v>
      </c>
      <c r="P224" s="1">
        <f>ROUNDUP(930*(1-$F$3),2)</f>
        <v>930</v>
      </c>
      <c r="Q224" s="1" t="s">
        <v>49</v>
      </c>
      <c r="R224" s="1" t="s">
        <v>1465</v>
      </c>
      <c r="S224" s="1" t="s">
        <v>1466</v>
      </c>
      <c r="T224" s="9">
        <v>10</v>
      </c>
      <c r="U224" s="1">
        <f>ROUNDUP(845.45*(1-$F$3),2)</f>
        <v>845.45</v>
      </c>
      <c r="V224" s="1">
        <v>285</v>
      </c>
      <c r="Y224" s="1" t="s">
        <v>1467</v>
      </c>
      <c r="Z224" s="1" t="s">
        <v>128</v>
      </c>
      <c r="AA224" s="12">
        <v>43186</v>
      </c>
      <c r="AB224" s="1" t="s">
        <v>66</v>
      </c>
      <c r="AC224" s="1" t="s">
        <v>143</v>
      </c>
      <c r="AD224" s="1" t="s">
        <v>1279</v>
      </c>
      <c r="AE224" s="1" t="s">
        <v>69</v>
      </c>
      <c r="AG224" s="1">
        <v>8556360</v>
      </c>
    </row>
    <row r="225" spans="3:33" s="1" customFormat="1" x14ac:dyDescent="0.25">
      <c r="C225" s="1" t="s">
        <v>1468</v>
      </c>
      <c r="D225" s="1" t="s">
        <v>1238</v>
      </c>
      <c r="E225" s="1" t="s">
        <v>1469</v>
      </c>
      <c r="F225" s="13" t="s">
        <v>6952</v>
      </c>
      <c r="G225" s="1" t="s">
        <v>1470</v>
      </c>
      <c r="H225" s="1" t="s">
        <v>1240</v>
      </c>
      <c r="I225" s="1">
        <v>436</v>
      </c>
      <c r="J225" s="1" t="s">
        <v>46</v>
      </c>
      <c r="M225" s="1" t="s">
        <v>176</v>
      </c>
      <c r="N225" s="1" t="s">
        <v>139</v>
      </c>
      <c r="O225" s="9">
        <v>12</v>
      </c>
      <c r="P225" s="1">
        <f>ROUNDUP(1000*(1-$F$3),2)</f>
        <v>1000</v>
      </c>
      <c r="Q225" s="1" t="s">
        <v>49</v>
      </c>
      <c r="R225" s="1" t="s">
        <v>1471</v>
      </c>
      <c r="S225" s="1" t="s">
        <v>1472</v>
      </c>
      <c r="T225" s="9">
        <v>10</v>
      </c>
      <c r="U225" s="1">
        <f>ROUNDUP(909.09*(1-$F$3),2)</f>
        <v>909.09</v>
      </c>
      <c r="V225" s="1">
        <v>324</v>
      </c>
      <c r="Y225" s="1" t="s">
        <v>1473</v>
      </c>
      <c r="Z225" s="1" t="s">
        <v>53</v>
      </c>
      <c r="AA225" s="12">
        <v>44704</v>
      </c>
      <c r="AB225" s="1" t="s">
        <v>66</v>
      </c>
      <c r="AC225" s="1" t="s">
        <v>77</v>
      </c>
      <c r="AD225" s="1" t="s">
        <v>605</v>
      </c>
      <c r="AE225" s="1" t="s">
        <v>69</v>
      </c>
      <c r="AG225" s="1">
        <v>10292080</v>
      </c>
    </row>
    <row r="226" spans="3:33" s="1" customFormat="1" x14ac:dyDescent="0.25">
      <c r="C226" s="1" t="s">
        <v>1474</v>
      </c>
      <c r="D226" s="1" t="s">
        <v>1475</v>
      </c>
      <c r="E226" s="1" t="s">
        <v>1476</v>
      </c>
      <c r="F226" s="13" t="s">
        <v>6952</v>
      </c>
      <c r="G226" s="1" t="s">
        <v>1477</v>
      </c>
      <c r="H226" s="1" t="s">
        <v>61</v>
      </c>
      <c r="I226" s="1">
        <v>320</v>
      </c>
      <c r="J226" s="1" t="s">
        <v>46</v>
      </c>
      <c r="M226" s="1" t="s">
        <v>169</v>
      </c>
      <c r="N226" s="1" t="s">
        <v>139</v>
      </c>
      <c r="O226" s="9">
        <v>9</v>
      </c>
      <c r="P226" s="1">
        <f>ROUNDUP(640*(1-$F$3),2)</f>
        <v>640</v>
      </c>
      <c r="Q226" s="1" t="s">
        <v>49</v>
      </c>
      <c r="R226" s="1" t="s">
        <v>1478</v>
      </c>
      <c r="S226" s="1" t="s">
        <v>1479</v>
      </c>
      <c r="T226" s="9">
        <v>10</v>
      </c>
      <c r="U226" s="1">
        <f>ROUNDUP(581.82*(1-$F$3),2)</f>
        <v>581.82000000000005</v>
      </c>
      <c r="V226" s="1">
        <v>269</v>
      </c>
      <c r="Y226" s="1" t="s">
        <v>1480</v>
      </c>
      <c r="Z226" s="1" t="s">
        <v>53</v>
      </c>
      <c r="AA226" s="12">
        <v>44719</v>
      </c>
      <c r="AB226" s="1" t="s">
        <v>66</v>
      </c>
      <c r="AC226" s="1" t="s">
        <v>143</v>
      </c>
      <c r="AD226" s="1" t="s">
        <v>847</v>
      </c>
      <c r="AE226" s="1" t="s">
        <v>878</v>
      </c>
      <c r="AG226" s="1">
        <v>10453410</v>
      </c>
    </row>
    <row r="227" spans="3:33" s="1" customFormat="1" x14ac:dyDescent="0.25">
      <c r="C227" s="1" t="s">
        <v>1481</v>
      </c>
      <c r="D227" s="1" t="s">
        <v>1475</v>
      </c>
      <c r="E227" s="1" t="s">
        <v>1482</v>
      </c>
      <c r="F227" s="13" t="s">
        <v>6952</v>
      </c>
      <c r="G227" s="1" t="s">
        <v>843</v>
      </c>
      <c r="H227" s="1" t="s">
        <v>61</v>
      </c>
      <c r="I227" s="1">
        <v>496</v>
      </c>
      <c r="J227" s="1" t="s">
        <v>46</v>
      </c>
      <c r="M227" s="1" t="s">
        <v>62</v>
      </c>
      <c r="N227" s="1" t="s">
        <v>139</v>
      </c>
      <c r="O227" s="9">
        <v>4</v>
      </c>
      <c r="P227" s="1">
        <f>ROUNDUP(1100*(1-$F$3),2)</f>
        <v>1100</v>
      </c>
      <c r="Q227" s="1" t="s">
        <v>49</v>
      </c>
      <c r="R227" s="1" t="s">
        <v>1483</v>
      </c>
      <c r="S227" s="1" t="s">
        <v>1484</v>
      </c>
      <c r="T227" s="9">
        <v>10</v>
      </c>
      <c r="U227" s="1">
        <f>ROUNDUP(1000*(1-$F$3),2)</f>
        <v>1000</v>
      </c>
      <c r="V227" s="1">
        <v>441</v>
      </c>
      <c r="Y227" s="1" t="s">
        <v>1485</v>
      </c>
      <c r="Z227" s="1" t="s">
        <v>53</v>
      </c>
      <c r="AA227" s="12">
        <v>44805</v>
      </c>
      <c r="AB227" s="1" t="s">
        <v>66</v>
      </c>
      <c r="AC227" s="1" t="s">
        <v>143</v>
      </c>
      <c r="AD227" s="1" t="s">
        <v>847</v>
      </c>
      <c r="AE227" s="1" t="s">
        <v>69</v>
      </c>
      <c r="AG227" s="1">
        <v>10512010</v>
      </c>
    </row>
    <row r="228" spans="3:33" s="1" customFormat="1" x14ac:dyDescent="0.25">
      <c r="C228" s="1" t="s">
        <v>1486</v>
      </c>
      <c r="D228" s="1" t="s">
        <v>1475</v>
      </c>
      <c r="E228" s="1" t="s">
        <v>1487</v>
      </c>
      <c r="F228" s="13" t="s">
        <v>6952</v>
      </c>
      <c r="G228" s="1" t="s">
        <v>1488</v>
      </c>
      <c r="H228" s="1" t="s">
        <v>61</v>
      </c>
      <c r="I228" s="1">
        <v>416</v>
      </c>
      <c r="J228" s="1" t="s">
        <v>46</v>
      </c>
      <c r="M228" s="1" t="s">
        <v>169</v>
      </c>
      <c r="N228" s="1" t="s">
        <v>139</v>
      </c>
      <c r="O228" s="9">
        <v>7</v>
      </c>
      <c r="P228" s="1">
        <f>ROUNDUP(690*(1-$F$3),2)</f>
        <v>690</v>
      </c>
      <c r="Q228" s="1" t="s">
        <v>49</v>
      </c>
      <c r="R228" s="1" t="s">
        <v>1489</v>
      </c>
      <c r="S228" s="1" t="s">
        <v>1490</v>
      </c>
      <c r="T228" s="9">
        <v>10</v>
      </c>
      <c r="U228" s="1">
        <f>ROUNDUP(627.27*(1-$F$3),2)</f>
        <v>627.27</v>
      </c>
      <c r="V228" s="1">
        <v>352</v>
      </c>
      <c r="Y228" s="1" t="s">
        <v>1491</v>
      </c>
      <c r="Z228" s="1" t="s">
        <v>53</v>
      </c>
      <c r="AA228" s="12">
        <v>44719</v>
      </c>
      <c r="AB228" s="1" t="s">
        <v>66</v>
      </c>
      <c r="AC228" s="1" t="s">
        <v>491</v>
      </c>
      <c r="AD228" s="1" t="s">
        <v>492</v>
      </c>
      <c r="AE228" s="1" t="s">
        <v>69</v>
      </c>
      <c r="AG228" s="1">
        <v>10455520</v>
      </c>
    </row>
    <row r="229" spans="3:33" s="1" customFormat="1" x14ac:dyDescent="0.25">
      <c r="C229" s="1" t="s">
        <v>1492</v>
      </c>
      <c r="D229" s="1" t="s">
        <v>1475</v>
      </c>
      <c r="E229" s="1" t="s">
        <v>1493</v>
      </c>
      <c r="F229" s="13" t="s">
        <v>6952</v>
      </c>
      <c r="G229" s="1" t="s">
        <v>1494</v>
      </c>
      <c r="H229" s="1" t="s">
        <v>61</v>
      </c>
      <c r="I229" s="1">
        <v>176</v>
      </c>
      <c r="J229" s="1" t="s">
        <v>46</v>
      </c>
      <c r="M229" s="1" t="s">
        <v>169</v>
      </c>
      <c r="N229" s="1" t="s">
        <v>139</v>
      </c>
      <c r="O229" s="9">
        <v>16</v>
      </c>
      <c r="P229" s="1">
        <f>ROUNDUP(540*(1-$F$3),2)</f>
        <v>540</v>
      </c>
      <c r="Q229" s="1" t="s">
        <v>49</v>
      </c>
      <c r="R229" s="1" t="s">
        <v>1495</v>
      </c>
      <c r="S229" s="1" t="s">
        <v>1496</v>
      </c>
      <c r="T229" s="9">
        <v>10</v>
      </c>
      <c r="U229" s="1">
        <f>ROUNDUP(490.91*(1-$F$3),2)</f>
        <v>490.91</v>
      </c>
      <c r="V229" s="1">
        <v>154</v>
      </c>
      <c r="Y229" s="1" t="s">
        <v>1497</v>
      </c>
      <c r="Z229" s="1" t="s">
        <v>53</v>
      </c>
      <c r="AA229" s="12">
        <v>44719</v>
      </c>
      <c r="AB229" s="1" t="s">
        <v>66</v>
      </c>
      <c r="AC229" s="1" t="s">
        <v>143</v>
      </c>
      <c r="AD229" s="1" t="s">
        <v>144</v>
      </c>
      <c r="AE229" s="1" t="s">
        <v>878</v>
      </c>
      <c r="AG229" s="1">
        <v>10462790</v>
      </c>
    </row>
    <row r="230" spans="3:33" s="1" customFormat="1" x14ac:dyDescent="0.25">
      <c r="C230" s="1" t="s">
        <v>1498</v>
      </c>
      <c r="D230" s="1" t="s">
        <v>1475</v>
      </c>
      <c r="E230" s="1" t="s">
        <v>1499</v>
      </c>
      <c r="F230" s="13" t="s">
        <v>6952</v>
      </c>
      <c r="G230" s="1" t="s">
        <v>1500</v>
      </c>
      <c r="H230" s="1" t="s">
        <v>61</v>
      </c>
      <c r="I230" s="1">
        <v>464</v>
      </c>
      <c r="J230" s="1" t="s">
        <v>46</v>
      </c>
      <c r="M230" s="1" t="s">
        <v>169</v>
      </c>
      <c r="N230" s="1" t="s">
        <v>139</v>
      </c>
      <c r="O230" s="9">
        <v>6</v>
      </c>
      <c r="P230" s="1">
        <f>ROUNDUP(780*(1-$F$3),2)</f>
        <v>780</v>
      </c>
      <c r="Q230" s="1" t="s">
        <v>49</v>
      </c>
      <c r="R230" s="1" t="s">
        <v>1501</v>
      </c>
      <c r="S230" s="1" t="s">
        <v>1502</v>
      </c>
      <c r="T230" s="9">
        <v>10</v>
      </c>
      <c r="U230" s="1">
        <f>ROUNDUP(709.09*(1-$F$3),2)</f>
        <v>709.09</v>
      </c>
      <c r="V230" s="1">
        <v>391</v>
      </c>
      <c r="Y230" s="1" t="s">
        <v>1503</v>
      </c>
      <c r="Z230" s="1" t="s">
        <v>53</v>
      </c>
      <c r="AA230" s="12">
        <v>44719</v>
      </c>
      <c r="AB230" s="1" t="s">
        <v>66</v>
      </c>
      <c r="AC230" s="1" t="s">
        <v>491</v>
      </c>
      <c r="AD230" s="1" t="s">
        <v>492</v>
      </c>
      <c r="AE230" s="1" t="s">
        <v>69</v>
      </c>
      <c r="AG230" s="1">
        <v>10452490</v>
      </c>
    </row>
    <row r="231" spans="3:33" s="1" customFormat="1" x14ac:dyDescent="0.25">
      <c r="C231" s="1" t="s">
        <v>1504</v>
      </c>
      <c r="D231" s="1" t="s">
        <v>1475</v>
      </c>
      <c r="E231" s="1" t="s">
        <v>1505</v>
      </c>
      <c r="F231" s="13" t="s">
        <v>6952</v>
      </c>
      <c r="G231" s="1" t="s">
        <v>569</v>
      </c>
      <c r="H231" s="1" t="s">
        <v>61</v>
      </c>
      <c r="I231" s="1">
        <v>416</v>
      </c>
      <c r="J231" s="1" t="s">
        <v>46</v>
      </c>
      <c r="M231" s="1" t="s">
        <v>169</v>
      </c>
      <c r="N231" s="1" t="s">
        <v>139</v>
      </c>
      <c r="O231" s="9">
        <v>7</v>
      </c>
      <c r="P231" s="1">
        <f>ROUNDUP(750*(1-$F$3),2)</f>
        <v>750</v>
      </c>
      <c r="Q231" s="1" t="s">
        <v>49</v>
      </c>
      <c r="R231" s="1" t="s">
        <v>1506</v>
      </c>
      <c r="S231" s="1" t="s">
        <v>1507</v>
      </c>
      <c r="T231" s="9">
        <v>10</v>
      </c>
      <c r="U231" s="1">
        <f>ROUNDUP(681.82*(1-$F$3),2)</f>
        <v>681.82</v>
      </c>
      <c r="V231" s="1">
        <v>351</v>
      </c>
      <c r="Y231" s="1" t="s">
        <v>1508</v>
      </c>
      <c r="Z231" s="1" t="s">
        <v>53</v>
      </c>
      <c r="AA231" s="12">
        <v>44719</v>
      </c>
      <c r="AB231" s="1" t="s">
        <v>66</v>
      </c>
      <c r="AC231" s="1" t="s">
        <v>491</v>
      </c>
      <c r="AD231" s="1" t="s">
        <v>1509</v>
      </c>
      <c r="AE231" s="1" t="s">
        <v>878</v>
      </c>
      <c r="AG231" s="1">
        <v>10461640</v>
      </c>
    </row>
    <row r="232" spans="3:33" s="1" customFormat="1" x14ac:dyDescent="0.25">
      <c r="C232" s="1" t="s">
        <v>1510</v>
      </c>
      <c r="D232" s="1" t="s">
        <v>1511</v>
      </c>
      <c r="E232" s="1" t="s">
        <v>1512</v>
      </c>
      <c r="F232" s="13" t="s">
        <v>6952</v>
      </c>
      <c r="G232" s="1" t="s">
        <v>1513</v>
      </c>
      <c r="H232" s="1" t="s">
        <v>724</v>
      </c>
      <c r="I232" s="1">
        <v>384</v>
      </c>
      <c r="J232" s="1" t="s">
        <v>46</v>
      </c>
      <c r="K232" s="1" t="s">
        <v>261</v>
      </c>
      <c r="M232" s="1" t="s">
        <v>169</v>
      </c>
      <c r="N232" s="1" t="s">
        <v>48</v>
      </c>
      <c r="O232" s="9">
        <v>8</v>
      </c>
      <c r="P232" s="1">
        <f>ROUNDUP(1250*(1-$F$3),2)</f>
        <v>1250</v>
      </c>
      <c r="Q232" s="1" t="s">
        <v>49</v>
      </c>
      <c r="R232" s="1" t="s">
        <v>1514</v>
      </c>
      <c r="S232" s="1" t="s">
        <v>1515</v>
      </c>
      <c r="T232" s="9">
        <v>22</v>
      </c>
      <c r="U232" s="1">
        <f>ROUNDUP(1024.59*(1-$F$3),2)</f>
        <v>1024.5899999999999</v>
      </c>
      <c r="V232" s="1">
        <v>422</v>
      </c>
      <c r="Y232" s="1" t="s">
        <v>1516</v>
      </c>
      <c r="Z232" s="1" t="s">
        <v>76</v>
      </c>
      <c r="AA232" s="12">
        <v>44623</v>
      </c>
      <c r="AB232" s="1" t="s">
        <v>66</v>
      </c>
      <c r="AC232" s="1" t="s">
        <v>67</v>
      </c>
      <c r="AD232" s="1" t="s">
        <v>165</v>
      </c>
      <c r="AE232" s="1" t="s">
        <v>69</v>
      </c>
      <c r="AG232" s="1">
        <v>10238980</v>
      </c>
    </row>
    <row r="233" spans="3:33" s="1" customFormat="1" x14ac:dyDescent="0.25">
      <c r="C233" s="1" t="s">
        <v>1517</v>
      </c>
      <c r="D233" s="1" t="s">
        <v>1511</v>
      </c>
      <c r="E233" s="1" t="s">
        <v>364</v>
      </c>
      <c r="F233" s="13" t="s">
        <v>6952</v>
      </c>
      <c r="G233" s="1" t="s">
        <v>365</v>
      </c>
      <c r="H233" s="1" t="s">
        <v>160</v>
      </c>
      <c r="I233" s="1">
        <v>384</v>
      </c>
      <c r="J233" s="1" t="s">
        <v>46</v>
      </c>
      <c r="M233" s="1" t="s">
        <v>47</v>
      </c>
      <c r="N233" s="1" t="s">
        <v>48</v>
      </c>
      <c r="O233" s="9">
        <v>5</v>
      </c>
      <c r="P233" s="1">
        <f>ROUNDUP(1210*(1-$F$3),2)</f>
        <v>1210</v>
      </c>
      <c r="Q233" s="1" t="s">
        <v>49</v>
      </c>
      <c r="R233" s="1" t="s">
        <v>1518</v>
      </c>
      <c r="S233" s="1" t="s">
        <v>1519</v>
      </c>
      <c r="T233" s="9">
        <v>22</v>
      </c>
      <c r="U233" s="1">
        <f>ROUNDUP(991.8*(1-$F$3),2)</f>
        <v>991.8</v>
      </c>
      <c r="V233" s="1">
        <v>417</v>
      </c>
      <c r="Y233" s="1" t="s">
        <v>368</v>
      </c>
      <c r="Z233" s="1" t="s">
        <v>76</v>
      </c>
      <c r="AA233" s="12">
        <v>45526</v>
      </c>
      <c r="AB233" s="1" t="s">
        <v>66</v>
      </c>
      <c r="AC233" s="1" t="s">
        <v>120</v>
      </c>
      <c r="AD233" s="1" t="s">
        <v>343</v>
      </c>
      <c r="AE233" s="1" t="s">
        <v>69</v>
      </c>
      <c r="AG233" s="1">
        <v>11420000</v>
      </c>
    </row>
    <row r="234" spans="3:33" s="1" customFormat="1" x14ac:dyDescent="0.25">
      <c r="C234" s="1" t="s">
        <v>1520</v>
      </c>
      <c r="D234" s="1" t="s">
        <v>1511</v>
      </c>
      <c r="E234" s="1" t="s">
        <v>1521</v>
      </c>
      <c r="F234" s="13" t="s">
        <v>6952</v>
      </c>
      <c r="G234" s="1" t="s">
        <v>183</v>
      </c>
      <c r="H234" s="1" t="s">
        <v>160</v>
      </c>
      <c r="I234" s="1">
        <v>384</v>
      </c>
      <c r="J234" s="1" t="s">
        <v>46</v>
      </c>
      <c r="M234" s="1" t="s">
        <v>47</v>
      </c>
      <c r="N234" s="1" t="s">
        <v>48</v>
      </c>
      <c r="O234" s="9">
        <v>10</v>
      </c>
      <c r="P234" s="1">
        <f>ROUNDUP(950*(1-$F$3),2)</f>
        <v>950</v>
      </c>
      <c r="Q234" s="1" t="s">
        <v>49</v>
      </c>
      <c r="R234" s="1" t="s">
        <v>1522</v>
      </c>
      <c r="S234" s="1" t="s">
        <v>1523</v>
      </c>
      <c r="T234" s="9">
        <v>10</v>
      </c>
      <c r="U234" s="1">
        <f>ROUNDUP(863.64*(1-$F$3),2)</f>
        <v>863.64</v>
      </c>
      <c r="V234" s="1">
        <v>382</v>
      </c>
      <c r="Y234" s="1" t="s">
        <v>1524</v>
      </c>
      <c r="Z234" s="1" t="s">
        <v>53</v>
      </c>
      <c r="AA234" s="12">
        <v>45383</v>
      </c>
      <c r="AB234" s="1" t="s">
        <v>66</v>
      </c>
      <c r="AC234" s="1" t="s">
        <v>67</v>
      </c>
      <c r="AD234" s="1" t="s">
        <v>165</v>
      </c>
      <c r="AE234" s="1" t="s">
        <v>69</v>
      </c>
      <c r="AG234" s="1">
        <v>11254910</v>
      </c>
    </row>
    <row r="235" spans="3:33" s="1" customFormat="1" x14ac:dyDescent="0.25">
      <c r="C235" s="1" t="s">
        <v>1525</v>
      </c>
      <c r="D235" s="1" t="s">
        <v>1511</v>
      </c>
      <c r="E235" s="1" t="s">
        <v>1526</v>
      </c>
      <c r="F235" s="13" t="s">
        <v>6952</v>
      </c>
      <c r="G235" s="1" t="s">
        <v>1527</v>
      </c>
      <c r="H235" s="1" t="s">
        <v>160</v>
      </c>
      <c r="I235" s="1">
        <v>192</v>
      </c>
      <c r="J235" s="1" t="s">
        <v>46</v>
      </c>
      <c r="M235" s="1" t="s">
        <v>176</v>
      </c>
      <c r="N235" s="1" t="s">
        <v>48</v>
      </c>
      <c r="O235" s="9">
        <v>16</v>
      </c>
      <c r="P235" s="1">
        <f>ROUNDUP(760*(1-$F$3),2)</f>
        <v>760</v>
      </c>
      <c r="Q235" s="1" t="s">
        <v>49</v>
      </c>
      <c r="R235" s="1" t="s">
        <v>1528</v>
      </c>
      <c r="S235" s="1" t="s">
        <v>1529</v>
      </c>
      <c r="T235" s="9">
        <v>22</v>
      </c>
      <c r="U235" s="1">
        <f>ROUNDUP(622.95*(1-$F$3),2)</f>
        <v>622.95000000000005</v>
      </c>
      <c r="V235" s="1">
        <v>218</v>
      </c>
      <c r="Y235" s="1" t="s">
        <v>1530</v>
      </c>
      <c r="Z235" s="1" t="s">
        <v>76</v>
      </c>
      <c r="AA235" s="12">
        <v>45383</v>
      </c>
      <c r="AB235" s="1" t="s">
        <v>66</v>
      </c>
      <c r="AC235" s="1" t="s">
        <v>67</v>
      </c>
      <c r="AD235" s="1" t="s">
        <v>165</v>
      </c>
      <c r="AE235" s="1" t="s">
        <v>69</v>
      </c>
      <c r="AG235" s="1">
        <v>11255070</v>
      </c>
    </row>
    <row r="236" spans="3:33" s="1" customFormat="1" x14ac:dyDescent="0.25">
      <c r="C236" s="1" t="s">
        <v>1531</v>
      </c>
      <c r="D236" s="1" t="s">
        <v>1532</v>
      </c>
      <c r="E236" s="1" t="s">
        <v>1533</v>
      </c>
      <c r="F236" s="13" t="s">
        <v>6952</v>
      </c>
      <c r="G236" s="1" t="s">
        <v>750</v>
      </c>
      <c r="H236" s="1" t="s">
        <v>190</v>
      </c>
      <c r="I236" s="1">
        <v>544</v>
      </c>
      <c r="J236" s="1" t="s">
        <v>46</v>
      </c>
      <c r="M236" s="1" t="s">
        <v>161</v>
      </c>
      <c r="N236" s="1" t="s">
        <v>139</v>
      </c>
      <c r="O236" s="9">
        <v>8</v>
      </c>
      <c r="P236" s="1">
        <f>ROUNDUP(610*(1-$F$3),2)</f>
        <v>610</v>
      </c>
      <c r="Q236" s="1" t="s">
        <v>49</v>
      </c>
      <c r="R236" s="1" t="s">
        <v>1534</v>
      </c>
      <c r="S236" s="1" t="s">
        <v>1535</v>
      </c>
      <c r="T236" s="9">
        <v>22</v>
      </c>
      <c r="U236" s="1">
        <f>ROUNDUP(500*(1-$F$3),2)</f>
        <v>500</v>
      </c>
      <c r="V236" s="1">
        <v>259</v>
      </c>
      <c r="Y236" s="1" t="s">
        <v>1536</v>
      </c>
      <c r="Z236" s="1" t="s">
        <v>76</v>
      </c>
      <c r="AA236" s="12">
        <v>43934</v>
      </c>
      <c r="AB236" s="1" t="s">
        <v>66</v>
      </c>
      <c r="AC236" s="1" t="s">
        <v>120</v>
      </c>
      <c r="AD236" s="1" t="s">
        <v>121</v>
      </c>
      <c r="AE236" s="1" t="s">
        <v>878</v>
      </c>
      <c r="AG236" s="1">
        <v>9349270</v>
      </c>
    </row>
    <row r="237" spans="3:33" s="1" customFormat="1" x14ac:dyDescent="0.25">
      <c r="C237" s="1" t="s">
        <v>1537</v>
      </c>
      <c r="D237" s="1" t="s">
        <v>1532</v>
      </c>
      <c r="E237" s="1" t="s">
        <v>920</v>
      </c>
      <c r="F237" s="13" t="s">
        <v>6952</v>
      </c>
      <c r="G237" s="1" t="s">
        <v>750</v>
      </c>
      <c r="H237" s="1" t="s">
        <v>190</v>
      </c>
      <c r="I237" s="1">
        <v>640</v>
      </c>
      <c r="J237" s="1" t="s">
        <v>46</v>
      </c>
      <c r="M237" s="1" t="s">
        <v>169</v>
      </c>
      <c r="N237" s="1" t="s">
        <v>139</v>
      </c>
      <c r="O237" s="9">
        <v>8</v>
      </c>
      <c r="P237" s="1">
        <f>ROUNDUP(610*(1-$F$3),2)</f>
        <v>610</v>
      </c>
      <c r="Q237" s="1" t="s">
        <v>49</v>
      </c>
      <c r="R237" s="1" t="s">
        <v>1538</v>
      </c>
      <c r="S237" s="1" t="s">
        <v>1539</v>
      </c>
      <c r="T237" s="9">
        <v>10</v>
      </c>
      <c r="U237" s="1">
        <f>ROUNDUP(554.55*(1-$F$3),2)</f>
        <v>554.54999999999995</v>
      </c>
      <c r="V237" s="1">
        <v>323</v>
      </c>
      <c r="Y237" s="1" t="s">
        <v>923</v>
      </c>
      <c r="Z237" s="1" t="s">
        <v>76</v>
      </c>
      <c r="AA237" s="12">
        <v>44347</v>
      </c>
      <c r="AB237" s="1" t="s">
        <v>66</v>
      </c>
      <c r="AC237" s="1" t="s">
        <v>120</v>
      </c>
      <c r="AD237" s="1" t="s">
        <v>121</v>
      </c>
      <c r="AE237" s="1" t="s">
        <v>878</v>
      </c>
      <c r="AG237" s="1">
        <v>9709500</v>
      </c>
    </row>
    <row r="238" spans="3:33" s="1" customFormat="1" x14ac:dyDescent="0.25">
      <c r="C238" s="1" t="s">
        <v>1540</v>
      </c>
      <c r="D238" s="1" t="s">
        <v>1532</v>
      </c>
      <c r="E238" s="1" t="s">
        <v>1541</v>
      </c>
      <c r="F238" s="13" t="s">
        <v>6952</v>
      </c>
      <c r="G238" s="1" t="s">
        <v>1542</v>
      </c>
      <c r="H238" s="1" t="s">
        <v>190</v>
      </c>
      <c r="I238" s="1">
        <v>256</v>
      </c>
      <c r="J238" s="1" t="s">
        <v>46</v>
      </c>
      <c r="M238" s="1" t="s">
        <v>62</v>
      </c>
      <c r="N238" s="1" t="s">
        <v>139</v>
      </c>
      <c r="O238" s="9">
        <v>8</v>
      </c>
      <c r="P238" s="1">
        <f>ROUNDUP(590*(1-$F$3),2)</f>
        <v>590</v>
      </c>
      <c r="Q238" s="1" t="s">
        <v>49</v>
      </c>
      <c r="R238" s="1" t="s">
        <v>1543</v>
      </c>
      <c r="S238" s="1" t="s">
        <v>1544</v>
      </c>
      <c r="T238" s="9">
        <v>10</v>
      </c>
      <c r="U238" s="1">
        <f>ROUNDUP(536.36*(1-$F$3),2)</f>
        <v>536.36</v>
      </c>
      <c r="V238" s="1">
        <v>129</v>
      </c>
      <c r="W238" s="1" t="s">
        <v>1545</v>
      </c>
      <c r="X238" s="1" t="s">
        <v>1546</v>
      </c>
      <c r="Y238" s="1" t="s">
        <v>1547</v>
      </c>
      <c r="Z238" s="1" t="s">
        <v>53</v>
      </c>
      <c r="AA238" s="12">
        <v>41275</v>
      </c>
      <c r="AB238" s="1" t="s">
        <v>95</v>
      </c>
      <c r="AC238" s="1" t="s">
        <v>112</v>
      </c>
      <c r="AD238" s="1" t="s">
        <v>839</v>
      </c>
      <c r="AE238" s="1" t="s">
        <v>69</v>
      </c>
      <c r="AG238" s="1">
        <v>4528530</v>
      </c>
    </row>
    <row r="239" spans="3:33" s="1" customFormat="1" x14ac:dyDescent="0.25">
      <c r="C239" s="1" t="s">
        <v>1548</v>
      </c>
      <c r="D239" s="1" t="s">
        <v>1532</v>
      </c>
      <c r="E239" s="1" t="s">
        <v>1245</v>
      </c>
      <c r="F239" s="13" t="s">
        <v>6952</v>
      </c>
      <c r="G239" s="1" t="s">
        <v>888</v>
      </c>
      <c r="H239" s="1" t="s">
        <v>1240</v>
      </c>
      <c r="I239" s="1">
        <v>320</v>
      </c>
      <c r="J239" s="1" t="s">
        <v>46</v>
      </c>
      <c r="M239" s="1" t="s">
        <v>62</v>
      </c>
      <c r="N239" s="1" t="s">
        <v>139</v>
      </c>
      <c r="O239" s="9">
        <v>16</v>
      </c>
      <c r="P239" s="1">
        <f>ROUNDUP(499*(1-$F$3),2)</f>
        <v>499</v>
      </c>
      <c r="Q239" s="1" t="s">
        <v>49</v>
      </c>
      <c r="R239" s="1" t="s">
        <v>1549</v>
      </c>
      <c r="S239" s="1" t="s">
        <v>1550</v>
      </c>
      <c r="T239" s="9">
        <v>10</v>
      </c>
      <c r="U239" s="1">
        <f>ROUNDUP(453.64*(1-$F$3),2)</f>
        <v>453.64</v>
      </c>
      <c r="V239" s="1">
        <v>158</v>
      </c>
      <c r="Y239" s="1" t="s">
        <v>1248</v>
      </c>
      <c r="Z239" s="1" t="s">
        <v>53</v>
      </c>
      <c r="AA239" s="12">
        <v>44659</v>
      </c>
      <c r="AB239" s="1" t="s">
        <v>95</v>
      </c>
      <c r="AC239" s="1" t="s">
        <v>112</v>
      </c>
      <c r="AD239" s="1" t="s">
        <v>839</v>
      </c>
      <c r="AE239" s="1" t="s">
        <v>878</v>
      </c>
      <c r="AG239" s="1">
        <v>10373390</v>
      </c>
    </row>
    <row r="240" spans="3:33" s="1" customFormat="1" x14ac:dyDescent="0.25">
      <c r="C240" s="1" t="s">
        <v>1551</v>
      </c>
      <c r="D240" s="1" t="s">
        <v>1532</v>
      </c>
      <c r="E240" s="1" t="s">
        <v>887</v>
      </c>
      <c r="F240" s="13" t="s">
        <v>6952</v>
      </c>
      <c r="G240" s="1" t="s">
        <v>888</v>
      </c>
      <c r="H240" s="1" t="s">
        <v>190</v>
      </c>
      <c r="I240" s="1">
        <v>304</v>
      </c>
      <c r="J240" s="1" t="s">
        <v>46</v>
      </c>
      <c r="M240" s="1" t="s">
        <v>62</v>
      </c>
      <c r="N240" s="1" t="s">
        <v>139</v>
      </c>
      <c r="O240" s="9">
        <v>16</v>
      </c>
      <c r="P240" s="1">
        <f>ROUNDUP(610*(1-$F$3),2)</f>
        <v>610</v>
      </c>
      <c r="Q240" s="1" t="s">
        <v>49</v>
      </c>
      <c r="R240" s="1" t="s">
        <v>1552</v>
      </c>
      <c r="S240" s="1" t="s">
        <v>1553</v>
      </c>
      <c r="T240" s="9">
        <v>10</v>
      </c>
      <c r="U240" s="1">
        <f>ROUNDUP(554.55*(1-$F$3),2)</f>
        <v>554.54999999999995</v>
      </c>
      <c r="V240" s="1">
        <v>144</v>
      </c>
      <c r="Y240" s="1" t="s">
        <v>891</v>
      </c>
      <c r="Z240" s="1" t="s">
        <v>53</v>
      </c>
      <c r="AA240" s="12">
        <v>44659</v>
      </c>
      <c r="AB240" s="1" t="s">
        <v>334</v>
      </c>
      <c r="AC240" s="1" t="s">
        <v>892</v>
      </c>
      <c r="AD240" s="1" t="s">
        <v>893</v>
      </c>
      <c r="AE240" s="1" t="s">
        <v>878</v>
      </c>
      <c r="AG240" s="1">
        <v>10373400</v>
      </c>
    </row>
    <row r="241" spans="3:33" s="1" customFormat="1" x14ac:dyDescent="0.25">
      <c r="C241" s="1" t="s">
        <v>1554</v>
      </c>
      <c r="D241" s="1" t="s">
        <v>1532</v>
      </c>
      <c r="E241" s="1" t="s">
        <v>887</v>
      </c>
      <c r="F241" s="13" t="s">
        <v>6952</v>
      </c>
      <c r="G241" s="1" t="s">
        <v>888</v>
      </c>
      <c r="H241" s="1" t="s">
        <v>190</v>
      </c>
      <c r="I241" s="1">
        <v>304</v>
      </c>
      <c r="J241" s="1" t="s">
        <v>46</v>
      </c>
      <c r="M241" s="1" t="s">
        <v>47</v>
      </c>
      <c r="N241" s="1" t="s">
        <v>139</v>
      </c>
      <c r="O241" s="9">
        <v>8</v>
      </c>
      <c r="P241" s="1">
        <f>ROUNDUP(640*(1-$F$3),2)</f>
        <v>640</v>
      </c>
      <c r="Q241" s="1" t="s">
        <v>49</v>
      </c>
      <c r="R241" s="1" t="s">
        <v>1555</v>
      </c>
      <c r="S241" s="1" t="s">
        <v>1556</v>
      </c>
      <c r="T241" s="9">
        <v>10</v>
      </c>
      <c r="U241" s="1">
        <f>ROUNDUP(581.82*(1-$F$3),2)</f>
        <v>581.82000000000005</v>
      </c>
      <c r="V241" s="1">
        <v>155</v>
      </c>
      <c r="Y241" s="1" t="s">
        <v>891</v>
      </c>
      <c r="Z241" s="1" t="s">
        <v>53</v>
      </c>
      <c r="AA241" s="12">
        <v>43196</v>
      </c>
      <c r="AB241" s="1" t="s">
        <v>334</v>
      </c>
      <c r="AC241" s="1" t="s">
        <v>892</v>
      </c>
      <c r="AD241" s="1" t="s">
        <v>893</v>
      </c>
      <c r="AE241" s="1" t="s">
        <v>878</v>
      </c>
      <c r="AG241" s="1">
        <v>8559520</v>
      </c>
    </row>
    <row r="242" spans="3:33" s="1" customFormat="1" x14ac:dyDescent="0.25">
      <c r="C242" s="1" t="s">
        <v>1557</v>
      </c>
      <c r="D242" s="1" t="s">
        <v>1532</v>
      </c>
      <c r="E242" s="1" t="s">
        <v>1558</v>
      </c>
      <c r="F242" s="13" t="s">
        <v>6952</v>
      </c>
      <c r="G242" s="1" t="s">
        <v>1559</v>
      </c>
      <c r="H242" s="1" t="s">
        <v>190</v>
      </c>
      <c r="I242" s="1">
        <v>288</v>
      </c>
      <c r="J242" s="1" t="s">
        <v>46</v>
      </c>
      <c r="M242" s="1" t="s">
        <v>169</v>
      </c>
      <c r="N242" s="1" t="s">
        <v>139</v>
      </c>
      <c r="O242" s="9">
        <v>12</v>
      </c>
      <c r="P242" s="1">
        <f>ROUNDUP(550*(1-$F$3),2)</f>
        <v>550</v>
      </c>
      <c r="Q242" s="1" t="s">
        <v>49</v>
      </c>
      <c r="R242" s="1" t="s">
        <v>1560</v>
      </c>
      <c r="S242" s="1" t="s">
        <v>1561</v>
      </c>
      <c r="T242" s="9">
        <v>10</v>
      </c>
      <c r="U242" s="1">
        <f>ROUNDUP(500*(1-$F$3),2)</f>
        <v>500</v>
      </c>
      <c r="V242" s="1">
        <v>148</v>
      </c>
      <c r="Y242" s="1" t="s">
        <v>1562</v>
      </c>
      <c r="Z242" s="1" t="s">
        <v>53</v>
      </c>
      <c r="AA242" s="12">
        <v>44769</v>
      </c>
      <c r="AB242" s="1" t="s">
        <v>66</v>
      </c>
      <c r="AC242" s="1" t="s">
        <v>143</v>
      </c>
      <c r="AD242" s="1" t="s">
        <v>144</v>
      </c>
      <c r="AE242" s="1" t="s">
        <v>69</v>
      </c>
      <c r="AG242" s="1">
        <v>10499720</v>
      </c>
    </row>
    <row r="243" spans="3:33" s="1" customFormat="1" x14ac:dyDescent="0.25">
      <c r="C243" s="1" t="s">
        <v>1563</v>
      </c>
      <c r="D243" s="1" t="s">
        <v>1532</v>
      </c>
      <c r="E243" s="1" t="s">
        <v>1564</v>
      </c>
      <c r="F243" s="13" t="s">
        <v>6952</v>
      </c>
      <c r="G243" s="1" t="s">
        <v>1565</v>
      </c>
      <c r="H243" s="1" t="s">
        <v>190</v>
      </c>
      <c r="I243" s="1">
        <v>416</v>
      </c>
      <c r="J243" s="1" t="s">
        <v>46</v>
      </c>
      <c r="K243" s="1" t="s">
        <v>1566</v>
      </c>
      <c r="M243" s="1" t="s">
        <v>169</v>
      </c>
      <c r="N243" s="1" t="s">
        <v>139</v>
      </c>
      <c r="O243" s="9">
        <v>7</v>
      </c>
      <c r="P243" s="1">
        <f>ROUNDUP(600*(1-$F$3),2)</f>
        <v>600</v>
      </c>
      <c r="Q243" s="1" t="s">
        <v>49</v>
      </c>
      <c r="R243" s="1" t="s">
        <v>1567</v>
      </c>
      <c r="S243" s="1" t="s">
        <v>1568</v>
      </c>
      <c r="T243" s="9">
        <v>22</v>
      </c>
      <c r="U243" s="1">
        <f>ROUNDUP(491.8*(1-$F$3),2)</f>
        <v>491.8</v>
      </c>
      <c r="V243" s="1">
        <v>209</v>
      </c>
      <c r="Y243" s="1" t="s">
        <v>1569</v>
      </c>
      <c r="Z243" s="1" t="s">
        <v>53</v>
      </c>
      <c r="AA243" s="12">
        <v>43850</v>
      </c>
      <c r="AB243" s="1" t="s">
        <v>86</v>
      </c>
      <c r="AC243" s="1" t="s">
        <v>1570</v>
      </c>
      <c r="AD243" s="1" t="s">
        <v>1571</v>
      </c>
      <c r="AE243" s="1" t="s">
        <v>878</v>
      </c>
      <c r="AG243" s="1">
        <v>9298700</v>
      </c>
    </row>
    <row r="244" spans="3:33" s="1" customFormat="1" x14ac:dyDescent="0.25">
      <c r="C244" s="1" t="s">
        <v>1572</v>
      </c>
      <c r="D244" s="1" t="s">
        <v>1532</v>
      </c>
      <c r="E244" s="1" t="s">
        <v>1573</v>
      </c>
      <c r="F244" s="13" t="s">
        <v>6952</v>
      </c>
      <c r="G244" s="1" t="s">
        <v>1574</v>
      </c>
      <c r="H244" s="1" t="s">
        <v>190</v>
      </c>
      <c r="I244" s="1">
        <v>528</v>
      </c>
      <c r="J244" s="1" t="s">
        <v>46</v>
      </c>
      <c r="M244" s="1" t="s">
        <v>62</v>
      </c>
      <c r="N244" s="1" t="s">
        <v>139</v>
      </c>
      <c r="O244" s="9">
        <v>6</v>
      </c>
      <c r="P244" s="1">
        <f>ROUNDUP(660*(1-$F$3),2)</f>
        <v>660</v>
      </c>
      <c r="Q244" s="1" t="s">
        <v>49</v>
      </c>
      <c r="R244" s="1" t="s">
        <v>1575</v>
      </c>
      <c r="S244" s="1" t="s">
        <v>1576</v>
      </c>
      <c r="T244" s="9">
        <v>10</v>
      </c>
      <c r="U244" s="1">
        <f>ROUNDUP(600*(1-$F$3),2)</f>
        <v>600</v>
      </c>
      <c r="V244" s="1">
        <v>256</v>
      </c>
      <c r="Y244" s="1" t="s">
        <v>1577</v>
      </c>
      <c r="Z244" s="1" t="s">
        <v>53</v>
      </c>
      <c r="AA244" s="12">
        <v>45243</v>
      </c>
      <c r="AB244" s="1" t="s">
        <v>219</v>
      </c>
      <c r="AC244" s="1" t="s">
        <v>1578</v>
      </c>
      <c r="AD244" s="1" t="s">
        <v>1579</v>
      </c>
      <c r="AE244" s="1" t="s">
        <v>69</v>
      </c>
      <c r="AG244" s="1">
        <v>11116440</v>
      </c>
    </row>
    <row r="245" spans="3:33" s="1" customFormat="1" x14ac:dyDescent="0.25">
      <c r="C245" s="1" t="s">
        <v>1580</v>
      </c>
      <c r="D245" s="1" t="s">
        <v>1532</v>
      </c>
      <c r="E245" s="1" t="s">
        <v>1581</v>
      </c>
      <c r="F245" s="13" t="s">
        <v>6952</v>
      </c>
      <c r="G245" s="1" t="s">
        <v>1582</v>
      </c>
      <c r="H245" s="1" t="s">
        <v>190</v>
      </c>
      <c r="I245" s="1">
        <v>335</v>
      </c>
      <c r="J245" s="1" t="s">
        <v>46</v>
      </c>
      <c r="K245" s="1" t="s">
        <v>1566</v>
      </c>
      <c r="M245" s="1" t="s">
        <v>835</v>
      </c>
      <c r="N245" s="1" t="s">
        <v>139</v>
      </c>
      <c r="O245" s="9">
        <v>12</v>
      </c>
      <c r="P245" s="1">
        <f>ROUNDUP(540*(1-$F$3),2)</f>
        <v>540</v>
      </c>
      <c r="Q245" s="1" t="s">
        <v>49</v>
      </c>
      <c r="R245" s="1" t="s">
        <v>1583</v>
      </c>
      <c r="S245" s="1" t="s">
        <v>1584</v>
      </c>
      <c r="T245" s="9">
        <v>10</v>
      </c>
      <c r="U245" s="1">
        <f>ROUNDUP(490.91*(1-$F$3),2)</f>
        <v>490.91</v>
      </c>
      <c r="V245" s="1">
        <v>157</v>
      </c>
      <c r="Y245" s="1" t="s">
        <v>1585</v>
      </c>
      <c r="Z245" s="1" t="s">
        <v>76</v>
      </c>
      <c r="AA245" s="12">
        <v>43871</v>
      </c>
      <c r="AB245" s="1" t="s">
        <v>66</v>
      </c>
      <c r="AC245" s="1" t="s">
        <v>67</v>
      </c>
      <c r="AD245" s="1" t="s">
        <v>670</v>
      </c>
      <c r="AE245" s="1" t="s">
        <v>878</v>
      </c>
      <c r="AG245" s="1">
        <v>9285120</v>
      </c>
    </row>
    <row r="246" spans="3:33" s="1" customFormat="1" x14ac:dyDescent="0.25">
      <c r="C246" s="1" t="s">
        <v>1586</v>
      </c>
      <c r="D246" s="1" t="s">
        <v>1532</v>
      </c>
      <c r="E246" s="1" t="s">
        <v>925</v>
      </c>
      <c r="F246" s="13" t="s">
        <v>6952</v>
      </c>
      <c r="G246" s="1" t="s">
        <v>926</v>
      </c>
      <c r="H246" s="1" t="s">
        <v>190</v>
      </c>
      <c r="I246" s="1">
        <v>480</v>
      </c>
      <c r="J246" s="1" t="s">
        <v>46</v>
      </c>
      <c r="M246" s="1" t="s">
        <v>169</v>
      </c>
      <c r="N246" s="1" t="s">
        <v>139</v>
      </c>
      <c r="O246" s="9">
        <v>6</v>
      </c>
      <c r="P246" s="1">
        <f>ROUNDUP(630*(1-$F$3),2)</f>
        <v>630</v>
      </c>
      <c r="Q246" s="1" t="s">
        <v>49</v>
      </c>
      <c r="R246" s="1" t="s">
        <v>1587</v>
      </c>
      <c r="S246" s="1" t="s">
        <v>1588</v>
      </c>
      <c r="T246" s="9">
        <v>10</v>
      </c>
      <c r="U246" s="1">
        <f>ROUNDUP(572.73*(1-$F$3),2)</f>
        <v>572.73</v>
      </c>
      <c r="V246" s="1">
        <v>239</v>
      </c>
      <c r="Y246" s="1" t="s">
        <v>929</v>
      </c>
      <c r="Z246" s="1" t="s">
        <v>76</v>
      </c>
      <c r="AA246" s="12">
        <v>44669</v>
      </c>
      <c r="AB246" s="1" t="s">
        <v>334</v>
      </c>
      <c r="AC246" s="1" t="s">
        <v>627</v>
      </c>
      <c r="AD246" s="1" t="s">
        <v>930</v>
      </c>
      <c r="AE246" s="1" t="s">
        <v>69</v>
      </c>
      <c r="AG246" s="1">
        <v>10401050</v>
      </c>
    </row>
    <row r="247" spans="3:33" s="1" customFormat="1" x14ac:dyDescent="0.25">
      <c r="C247" s="1" t="s">
        <v>1589</v>
      </c>
      <c r="D247" s="1" t="s">
        <v>1532</v>
      </c>
      <c r="E247" s="1" t="s">
        <v>932</v>
      </c>
      <c r="F247" s="13" t="s">
        <v>6952</v>
      </c>
      <c r="G247" s="1" t="s">
        <v>843</v>
      </c>
      <c r="H247" s="1" t="s">
        <v>190</v>
      </c>
      <c r="I247" s="1">
        <v>320</v>
      </c>
      <c r="J247" s="1" t="s">
        <v>46</v>
      </c>
      <c r="M247" s="1" t="s">
        <v>62</v>
      </c>
      <c r="N247" s="1" t="s">
        <v>139</v>
      </c>
      <c r="O247" s="9">
        <v>10</v>
      </c>
      <c r="P247" s="1">
        <f>ROUNDUP(540*(1-$F$3),2)</f>
        <v>540</v>
      </c>
      <c r="Q247" s="1" t="s">
        <v>49</v>
      </c>
      <c r="R247" s="1" t="s">
        <v>1590</v>
      </c>
      <c r="S247" s="1" t="s">
        <v>1591</v>
      </c>
      <c r="T247" s="9">
        <v>10</v>
      </c>
      <c r="U247" s="1">
        <f>ROUNDUP(490.91*(1-$F$3),2)</f>
        <v>490.91</v>
      </c>
      <c r="V247" s="1">
        <v>151</v>
      </c>
      <c r="Y247" s="1" t="s">
        <v>935</v>
      </c>
      <c r="Z247" s="1" t="s">
        <v>53</v>
      </c>
      <c r="AA247" s="12">
        <v>44669</v>
      </c>
      <c r="AB247" s="1" t="s">
        <v>95</v>
      </c>
      <c r="AC247" s="1" t="s">
        <v>112</v>
      </c>
      <c r="AD247" s="1" t="s">
        <v>243</v>
      </c>
      <c r="AE247" s="1" t="s">
        <v>69</v>
      </c>
      <c r="AG247" s="1">
        <v>10401040</v>
      </c>
    </row>
    <row r="248" spans="3:33" s="1" customFormat="1" x14ac:dyDescent="0.25">
      <c r="C248" s="1" t="s">
        <v>1592</v>
      </c>
      <c r="D248" s="1" t="s">
        <v>1532</v>
      </c>
      <c r="E248" s="1" t="s">
        <v>1593</v>
      </c>
      <c r="F248" s="13" t="s">
        <v>6952</v>
      </c>
      <c r="G248" s="1" t="s">
        <v>755</v>
      </c>
      <c r="H248" s="1" t="s">
        <v>190</v>
      </c>
      <c r="I248" s="1">
        <v>400</v>
      </c>
      <c r="J248" s="1" t="s">
        <v>46</v>
      </c>
      <c r="M248" s="1" t="s">
        <v>756</v>
      </c>
      <c r="N248" s="1" t="s">
        <v>139</v>
      </c>
      <c r="O248" s="9">
        <v>8</v>
      </c>
      <c r="P248" s="1">
        <f>ROUNDUP(660*(1-$F$3),2)</f>
        <v>660</v>
      </c>
      <c r="Q248" s="1" t="s">
        <v>49</v>
      </c>
      <c r="R248" s="1" t="s">
        <v>1594</v>
      </c>
      <c r="S248" s="1" t="s">
        <v>1595</v>
      </c>
      <c r="T248" s="9">
        <v>10</v>
      </c>
      <c r="U248" s="1">
        <f>ROUNDUP(600*(1-$F$3),2)</f>
        <v>600</v>
      </c>
      <c r="V248" s="1">
        <v>203</v>
      </c>
      <c r="Y248" s="1" t="s">
        <v>1596</v>
      </c>
      <c r="Z248" s="1" t="s">
        <v>53</v>
      </c>
      <c r="AA248" s="12">
        <v>44386</v>
      </c>
      <c r="AB248" s="1" t="s">
        <v>66</v>
      </c>
      <c r="AC248" s="1" t="s">
        <v>120</v>
      </c>
      <c r="AD248" s="1" t="s">
        <v>121</v>
      </c>
      <c r="AE248" s="1" t="s">
        <v>878</v>
      </c>
      <c r="AG248" s="1">
        <v>9745060</v>
      </c>
    </row>
    <row r="249" spans="3:33" s="1" customFormat="1" x14ac:dyDescent="0.25">
      <c r="C249" s="1" t="s">
        <v>1597</v>
      </c>
      <c r="D249" s="1" t="s">
        <v>1532</v>
      </c>
      <c r="E249" s="1" t="s">
        <v>842</v>
      </c>
      <c r="F249" s="13" t="s">
        <v>6952</v>
      </c>
      <c r="G249" s="1" t="s">
        <v>843</v>
      </c>
      <c r="H249" s="1" t="s">
        <v>190</v>
      </c>
      <c r="I249" s="1">
        <v>464</v>
      </c>
      <c r="J249" s="1" t="s">
        <v>46</v>
      </c>
      <c r="M249" s="1" t="s">
        <v>62</v>
      </c>
      <c r="N249" s="1" t="s">
        <v>139</v>
      </c>
      <c r="O249" s="9">
        <v>6</v>
      </c>
      <c r="P249" s="1">
        <f>ROUNDUP(600*(1-$F$3),2)</f>
        <v>600</v>
      </c>
      <c r="Q249" s="1" t="s">
        <v>49</v>
      </c>
      <c r="R249" s="1" t="s">
        <v>1598</v>
      </c>
      <c r="S249" s="1" t="s">
        <v>1599</v>
      </c>
      <c r="T249" s="9">
        <v>10</v>
      </c>
      <c r="U249" s="1">
        <f>ROUNDUP(545.45*(1-$F$3),2)</f>
        <v>545.45000000000005</v>
      </c>
      <c r="V249" s="1">
        <v>223</v>
      </c>
      <c r="Y249" s="1" t="s">
        <v>846</v>
      </c>
      <c r="Z249" s="1" t="s">
        <v>53</v>
      </c>
      <c r="AA249" s="12">
        <v>43978</v>
      </c>
      <c r="AB249" s="1" t="s">
        <v>66</v>
      </c>
      <c r="AC249" s="1" t="s">
        <v>143</v>
      </c>
      <c r="AD249" s="1" t="s">
        <v>847</v>
      </c>
      <c r="AE249" s="1" t="s">
        <v>878</v>
      </c>
      <c r="AG249" s="1">
        <v>9399680</v>
      </c>
    </row>
    <row r="250" spans="3:33" s="1" customFormat="1" x14ac:dyDescent="0.25">
      <c r="C250" s="1" t="s">
        <v>1600</v>
      </c>
      <c r="D250" s="1" t="s">
        <v>1532</v>
      </c>
      <c r="E250" s="1" t="s">
        <v>1601</v>
      </c>
      <c r="F250" s="13" t="s">
        <v>6952</v>
      </c>
      <c r="G250" s="1" t="s">
        <v>843</v>
      </c>
      <c r="H250" s="1" t="s">
        <v>190</v>
      </c>
      <c r="I250" s="1">
        <v>496</v>
      </c>
      <c r="J250" s="1" t="s">
        <v>46</v>
      </c>
      <c r="M250" s="1" t="s">
        <v>62</v>
      </c>
      <c r="N250" s="1" t="s">
        <v>139</v>
      </c>
      <c r="O250" s="9">
        <v>6</v>
      </c>
      <c r="P250" s="1">
        <f>ROUNDUP(660*(1-$F$3),2)</f>
        <v>660</v>
      </c>
      <c r="Q250" s="1" t="s">
        <v>49</v>
      </c>
      <c r="R250" s="1" t="s">
        <v>1602</v>
      </c>
      <c r="S250" s="1" t="s">
        <v>1603</v>
      </c>
      <c r="T250" s="9">
        <v>10</v>
      </c>
      <c r="U250" s="1">
        <f>ROUNDUP(600*(1-$F$3),2)</f>
        <v>600</v>
      </c>
      <c r="V250" s="1">
        <v>239</v>
      </c>
      <c r="Y250" s="1" t="s">
        <v>1604</v>
      </c>
      <c r="Z250" s="1" t="s">
        <v>53</v>
      </c>
      <c r="AA250" s="12">
        <v>43236</v>
      </c>
      <c r="AB250" s="1" t="s">
        <v>66</v>
      </c>
      <c r="AC250" s="1" t="s">
        <v>143</v>
      </c>
      <c r="AD250" s="1" t="s">
        <v>847</v>
      </c>
      <c r="AE250" s="1" t="s">
        <v>878</v>
      </c>
      <c r="AG250" s="1">
        <v>8613270</v>
      </c>
    </row>
    <row r="251" spans="3:33" s="1" customFormat="1" x14ac:dyDescent="0.25">
      <c r="C251" s="1" t="s">
        <v>1605</v>
      </c>
      <c r="D251" s="1" t="s">
        <v>1532</v>
      </c>
      <c r="E251" s="1" t="s">
        <v>1606</v>
      </c>
      <c r="F251" s="13" t="s">
        <v>6952</v>
      </c>
      <c r="G251" s="1" t="s">
        <v>843</v>
      </c>
      <c r="H251" s="1" t="s">
        <v>190</v>
      </c>
      <c r="I251" s="1">
        <v>384</v>
      </c>
      <c r="J251" s="1" t="s">
        <v>46</v>
      </c>
      <c r="K251" s="1" t="s">
        <v>1566</v>
      </c>
      <c r="M251" s="1" t="s">
        <v>62</v>
      </c>
      <c r="N251" s="1" t="s">
        <v>139</v>
      </c>
      <c r="O251" s="9">
        <v>5</v>
      </c>
      <c r="P251" s="1">
        <f>ROUNDUP(1000*(1-$F$3),2)</f>
        <v>1000</v>
      </c>
      <c r="Q251" s="1" t="s">
        <v>49</v>
      </c>
      <c r="R251" s="1" t="s">
        <v>1607</v>
      </c>
      <c r="S251" s="1" t="s">
        <v>1608</v>
      </c>
      <c r="T251" s="9">
        <v>10</v>
      </c>
      <c r="U251" s="1">
        <f>ROUNDUP(909.09*(1-$F$3),2)</f>
        <v>909.09</v>
      </c>
      <c r="V251" s="1">
        <v>193</v>
      </c>
      <c r="Y251" s="1" t="s">
        <v>1609</v>
      </c>
      <c r="Z251" s="1" t="s">
        <v>53</v>
      </c>
      <c r="AA251" s="12">
        <v>43858</v>
      </c>
      <c r="AB251" s="1" t="s">
        <v>66</v>
      </c>
      <c r="AC251" s="1" t="s">
        <v>143</v>
      </c>
      <c r="AD251" s="1" t="s">
        <v>847</v>
      </c>
      <c r="AE251" s="1" t="s">
        <v>878</v>
      </c>
      <c r="AG251" s="1">
        <v>9256450</v>
      </c>
    </row>
    <row r="252" spans="3:33" s="1" customFormat="1" x14ac:dyDescent="0.25">
      <c r="C252" s="1" t="s">
        <v>1610</v>
      </c>
      <c r="D252" s="1" t="s">
        <v>1532</v>
      </c>
      <c r="E252" s="1" t="s">
        <v>1611</v>
      </c>
      <c r="F252" s="13" t="s">
        <v>6952</v>
      </c>
      <c r="G252" s="1" t="s">
        <v>1612</v>
      </c>
      <c r="H252" s="1" t="s">
        <v>190</v>
      </c>
      <c r="I252" s="1">
        <v>528</v>
      </c>
      <c r="J252" s="1" t="s">
        <v>46</v>
      </c>
      <c r="M252" s="1" t="s">
        <v>176</v>
      </c>
      <c r="N252" s="1" t="s">
        <v>139</v>
      </c>
      <c r="O252" s="9">
        <v>8</v>
      </c>
      <c r="P252" s="1">
        <f>ROUNDUP(580*(1-$F$3),2)</f>
        <v>580</v>
      </c>
      <c r="Q252" s="1" t="s">
        <v>49</v>
      </c>
      <c r="R252" s="1" t="s">
        <v>1613</v>
      </c>
      <c r="S252" s="1" t="s">
        <v>1614</v>
      </c>
      <c r="T252" s="9">
        <v>10</v>
      </c>
      <c r="U252" s="1">
        <f>ROUNDUP(527.27*(1-$F$3),2)</f>
        <v>527.27</v>
      </c>
      <c r="V252" s="1">
        <v>251</v>
      </c>
      <c r="Y252" s="1" t="s">
        <v>1615</v>
      </c>
      <c r="Z252" s="1" t="s">
        <v>128</v>
      </c>
      <c r="AA252" s="12">
        <v>45243</v>
      </c>
      <c r="AB252" s="1" t="s">
        <v>334</v>
      </c>
      <c r="AC252" s="1" t="s">
        <v>1616</v>
      </c>
      <c r="AD252" s="1" t="s">
        <v>1617</v>
      </c>
      <c r="AE252" s="1" t="s">
        <v>69</v>
      </c>
      <c r="AG252" s="1">
        <v>11116430</v>
      </c>
    </row>
    <row r="253" spans="3:33" s="1" customFormat="1" x14ac:dyDescent="0.25">
      <c r="C253" s="1" t="s">
        <v>1618</v>
      </c>
      <c r="D253" s="1" t="s">
        <v>1532</v>
      </c>
      <c r="E253" s="1" t="s">
        <v>943</v>
      </c>
      <c r="F253" s="13" t="s">
        <v>6952</v>
      </c>
      <c r="G253" s="1" t="s">
        <v>944</v>
      </c>
      <c r="H253" s="1" t="s">
        <v>190</v>
      </c>
      <c r="I253" s="1">
        <v>384</v>
      </c>
      <c r="J253" s="1" t="s">
        <v>46</v>
      </c>
      <c r="M253" s="1" t="s">
        <v>756</v>
      </c>
      <c r="N253" s="1" t="s">
        <v>139</v>
      </c>
      <c r="O253" s="9">
        <v>8</v>
      </c>
      <c r="P253" s="1">
        <f>ROUNDUP(510*(1-$F$3),2)</f>
        <v>510</v>
      </c>
      <c r="Q253" s="1" t="s">
        <v>49</v>
      </c>
      <c r="R253" s="1" t="s">
        <v>1619</v>
      </c>
      <c r="S253" s="1" t="s">
        <v>1620</v>
      </c>
      <c r="T253" s="9">
        <v>10</v>
      </c>
      <c r="U253" s="1">
        <f>ROUNDUP(463.64*(1-$F$3),2)</f>
        <v>463.64</v>
      </c>
      <c r="V253" s="1">
        <v>192</v>
      </c>
      <c r="Y253" s="1" t="s">
        <v>947</v>
      </c>
      <c r="Z253" s="1" t="s">
        <v>53</v>
      </c>
      <c r="AA253" s="12">
        <v>44355</v>
      </c>
      <c r="AB253" s="1" t="s">
        <v>66</v>
      </c>
      <c r="AC253" s="1" t="s">
        <v>120</v>
      </c>
      <c r="AD253" s="1" t="s">
        <v>121</v>
      </c>
      <c r="AE253" s="1" t="s">
        <v>878</v>
      </c>
      <c r="AG253" s="1">
        <v>9708640</v>
      </c>
    </row>
    <row r="254" spans="3:33" s="1" customFormat="1" x14ac:dyDescent="0.25">
      <c r="C254" s="1" t="s">
        <v>1621</v>
      </c>
      <c r="D254" s="1" t="s">
        <v>1532</v>
      </c>
      <c r="E254" s="1" t="s">
        <v>1622</v>
      </c>
      <c r="F254" s="13" t="s">
        <v>6952</v>
      </c>
      <c r="G254" s="1" t="s">
        <v>1623</v>
      </c>
      <c r="H254" s="1" t="s">
        <v>190</v>
      </c>
      <c r="I254" s="1">
        <v>384</v>
      </c>
      <c r="J254" s="1" t="s">
        <v>46</v>
      </c>
      <c r="M254" s="1" t="s">
        <v>835</v>
      </c>
      <c r="N254" s="1" t="s">
        <v>139</v>
      </c>
      <c r="O254" s="9">
        <v>16</v>
      </c>
      <c r="P254" s="1">
        <f>ROUNDUP(560*(1-$F$3),2)</f>
        <v>560</v>
      </c>
      <c r="Q254" s="1" t="s">
        <v>49</v>
      </c>
      <c r="R254" s="1" t="s">
        <v>1624</v>
      </c>
      <c r="S254" s="1" t="s">
        <v>1625</v>
      </c>
      <c r="T254" s="9">
        <v>10</v>
      </c>
      <c r="U254" s="1">
        <f>ROUNDUP(509.09*(1-$F$3),2)</f>
        <v>509.09</v>
      </c>
      <c r="V254" s="1">
        <v>192</v>
      </c>
      <c r="Y254" s="1" t="s">
        <v>1626</v>
      </c>
      <c r="Z254" s="1" t="s">
        <v>76</v>
      </c>
      <c r="AA254" s="12">
        <v>43915</v>
      </c>
      <c r="AB254" s="1" t="s">
        <v>66</v>
      </c>
      <c r="AC254" s="1" t="s">
        <v>143</v>
      </c>
      <c r="AD254" s="1" t="s">
        <v>144</v>
      </c>
      <c r="AE254" s="1" t="s">
        <v>878</v>
      </c>
      <c r="AG254" s="1">
        <v>9356980</v>
      </c>
    </row>
    <row r="255" spans="3:33" s="1" customFormat="1" x14ac:dyDescent="0.25">
      <c r="C255" s="1" t="s">
        <v>1627</v>
      </c>
      <c r="D255" s="1" t="s">
        <v>1532</v>
      </c>
      <c r="E255" s="1" t="s">
        <v>1224</v>
      </c>
      <c r="F255" s="13" t="s">
        <v>6952</v>
      </c>
      <c r="G255" s="1" t="s">
        <v>1225</v>
      </c>
      <c r="H255" s="1" t="s">
        <v>190</v>
      </c>
      <c r="I255" s="1">
        <v>320</v>
      </c>
      <c r="J255" s="1" t="s">
        <v>46</v>
      </c>
      <c r="M255" s="1" t="s">
        <v>47</v>
      </c>
      <c r="N255" s="1" t="s">
        <v>139</v>
      </c>
      <c r="O255" s="9">
        <v>10</v>
      </c>
      <c r="P255" s="1">
        <f>ROUNDUP(490*(1-$F$3),2)</f>
        <v>490</v>
      </c>
      <c r="Q255" s="1" t="s">
        <v>49</v>
      </c>
      <c r="R255" s="1" t="s">
        <v>1628</v>
      </c>
      <c r="S255" s="1" t="s">
        <v>1629</v>
      </c>
      <c r="T255" s="9">
        <v>10</v>
      </c>
      <c r="U255" s="1">
        <f>ROUNDUP(445.45*(1-$F$3),2)</f>
        <v>445.45</v>
      </c>
      <c r="V255" s="1">
        <v>164</v>
      </c>
      <c r="Y255" s="1" t="s">
        <v>1228</v>
      </c>
      <c r="Z255" s="1" t="s">
        <v>53</v>
      </c>
      <c r="AA255" s="12">
        <v>45099</v>
      </c>
      <c r="AB255" s="1" t="s">
        <v>66</v>
      </c>
      <c r="AC255" s="1" t="s">
        <v>67</v>
      </c>
      <c r="AD255" s="1" t="s">
        <v>165</v>
      </c>
      <c r="AE255" s="1" t="s">
        <v>878</v>
      </c>
      <c r="AG255" s="1">
        <v>10943800</v>
      </c>
    </row>
    <row r="256" spans="3:33" s="1" customFormat="1" x14ac:dyDescent="0.25">
      <c r="C256" s="1" t="s">
        <v>1630</v>
      </c>
      <c r="D256" s="1" t="s">
        <v>1532</v>
      </c>
      <c r="E256" s="1" t="s">
        <v>1631</v>
      </c>
      <c r="F256" s="13" t="s">
        <v>6952</v>
      </c>
      <c r="G256" s="1" t="s">
        <v>950</v>
      </c>
      <c r="H256" s="1" t="s">
        <v>190</v>
      </c>
      <c r="I256" s="1">
        <v>512</v>
      </c>
      <c r="J256" s="1" t="s">
        <v>46</v>
      </c>
      <c r="M256" s="1" t="s">
        <v>169</v>
      </c>
      <c r="N256" s="1" t="s">
        <v>139</v>
      </c>
      <c r="O256" s="9">
        <v>6</v>
      </c>
      <c r="P256" s="1">
        <f>ROUNDUP(680*(1-$F$3),2)</f>
        <v>680</v>
      </c>
      <c r="Q256" s="1" t="s">
        <v>49</v>
      </c>
      <c r="R256" s="1" t="s">
        <v>1632</v>
      </c>
      <c r="S256" s="1" t="s">
        <v>1633</v>
      </c>
      <c r="T256" s="9">
        <v>22</v>
      </c>
      <c r="U256" s="1">
        <f>ROUNDUP(557.38*(1-$F$3),2)</f>
        <v>557.38</v>
      </c>
      <c r="V256" s="1">
        <v>254</v>
      </c>
      <c r="Y256" s="1" t="s">
        <v>953</v>
      </c>
      <c r="Z256" s="1" t="s">
        <v>76</v>
      </c>
      <c r="AA256" s="12">
        <v>44834</v>
      </c>
      <c r="AB256" s="1" t="s">
        <v>66</v>
      </c>
      <c r="AC256" s="1" t="s">
        <v>143</v>
      </c>
      <c r="AD256" s="1" t="s">
        <v>847</v>
      </c>
      <c r="AE256" s="1" t="s">
        <v>69</v>
      </c>
      <c r="AG256" s="1">
        <v>10535510</v>
      </c>
    </row>
    <row r="257" spans="1:33" s="1" customFormat="1" x14ac:dyDescent="0.25">
      <c r="C257" s="1" t="s">
        <v>1634</v>
      </c>
      <c r="D257" s="1" t="s">
        <v>1532</v>
      </c>
      <c r="E257" s="1" t="s">
        <v>955</v>
      </c>
      <c r="F257" s="13" t="s">
        <v>6952</v>
      </c>
      <c r="G257" s="1" t="s">
        <v>938</v>
      </c>
      <c r="H257" s="1" t="s">
        <v>190</v>
      </c>
      <c r="I257" s="1">
        <v>336</v>
      </c>
      <c r="J257" s="1" t="s">
        <v>46</v>
      </c>
      <c r="M257" s="1" t="s">
        <v>169</v>
      </c>
      <c r="N257" s="1" t="s">
        <v>139</v>
      </c>
      <c r="O257" s="9">
        <v>10</v>
      </c>
      <c r="P257" s="1">
        <f>ROUNDUP(610*(1-$F$3),2)</f>
        <v>610</v>
      </c>
      <c r="Q257" s="1" t="s">
        <v>49</v>
      </c>
      <c r="R257" s="1" t="s">
        <v>1635</v>
      </c>
      <c r="S257" s="1" t="s">
        <v>1636</v>
      </c>
      <c r="T257" s="9">
        <v>10</v>
      </c>
      <c r="U257" s="1">
        <f>ROUNDUP(554.55*(1-$F$3),2)</f>
        <v>554.54999999999995</v>
      </c>
      <c r="V257" s="1">
        <v>167</v>
      </c>
      <c r="Y257" s="1" t="s">
        <v>958</v>
      </c>
      <c r="Z257" s="1" t="s">
        <v>76</v>
      </c>
      <c r="AA257" s="12">
        <v>44708</v>
      </c>
      <c r="AB257" s="1" t="s">
        <v>66</v>
      </c>
      <c r="AC257" s="1" t="s">
        <v>120</v>
      </c>
      <c r="AD257" s="1" t="s">
        <v>121</v>
      </c>
      <c r="AE257" s="1" t="s">
        <v>878</v>
      </c>
      <c r="AG257" s="1">
        <v>10455010</v>
      </c>
    </row>
    <row r="258" spans="1:33" s="1" customFormat="1" x14ac:dyDescent="0.25">
      <c r="C258" s="1" t="s">
        <v>1637</v>
      </c>
      <c r="D258" s="1" t="s">
        <v>1532</v>
      </c>
      <c r="E258" s="1" t="s">
        <v>1638</v>
      </c>
      <c r="F258" s="13" t="s">
        <v>6952</v>
      </c>
      <c r="G258" s="1" t="s">
        <v>1639</v>
      </c>
      <c r="H258" s="1" t="s">
        <v>190</v>
      </c>
      <c r="I258" s="1">
        <v>287</v>
      </c>
      <c r="J258" s="1" t="s">
        <v>46</v>
      </c>
      <c r="K258" s="1" t="s">
        <v>1566</v>
      </c>
      <c r="M258" s="1" t="s">
        <v>835</v>
      </c>
      <c r="N258" s="1" t="s">
        <v>139</v>
      </c>
      <c r="O258" s="9">
        <v>16</v>
      </c>
      <c r="P258" s="1">
        <f>ROUNDUP(660*(1-$F$3),2)</f>
        <v>660</v>
      </c>
      <c r="Q258" s="1" t="s">
        <v>49</v>
      </c>
      <c r="R258" s="1" t="s">
        <v>1640</v>
      </c>
      <c r="S258" s="1" t="s">
        <v>1641</v>
      </c>
      <c r="T258" s="9">
        <v>10</v>
      </c>
      <c r="U258" s="1">
        <f>ROUNDUP(600*(1-$F$3),2)</f>
        <v>600</v>
      </c>
      <c r="V258" s="1">
        <v>138</v>
      </c>
      <c r="Y258" s="1" t="s">
        <v>1642</v>
      </c>
      <c r="Z258" s="1" t="s">
        <v>128</v>
      </c>
      <c r="AA258" s="12">
        <v>43850</v>
      </c>
      <c r="AB258" s="1" t="s">
        <v>66</v>
      </c>
      <c r="AC258" s="1" t="s">
        <v>143</v>
      </c>
      <c r="AD258" s="1" t="s">
        <v>144</v>
      </c>
      <c r="AE258" s="1" t="s">
        <v>878</v>
      </c>
      <c r="AG258" s="1">
        <v>9257030</v>
      </c>
    </row>
    <row r="259" spans="1:33" s="1" customFormat="1" x14ac:dyDescent="0.25">
      <c r="C259" s="1" t="s">
        <v>1643</v>
      </c>
      <c r="D259" s="1" t="s">
        <v>1532</v>
      </c>
      <c r="E259" s="1" t="s">
        <v>966</v>
      </c>
      <c r="F259" s="13" t="s">
        <v>6952</v>
      </c>
      <c r="G259" s="1" t="s">
        <v>503</v>
      </c>
      <c r="H259" s="1" t="s">
        <v>190</v>
      </c>
      <c r="I259" s="1">
        <v>368</v>
      </c>
      <c r="J259" s="1" t="s">
        <v>46</v>
      </c>
      <c r="M259" s="1" t="s">
        <v>62</v>
      </c>
      <c r="N259" s="1" t="s">
        <v>139</v>
      </c>
      <c r="O259" s="9">
        <v>8</v>
      </c>
      <c r="P259" s="1">
        <f>ROUNDUP(600*(1-$F$3),2)</f>
        <v>600</v>
      </c>
      <c r="Q259" s="1" t="s">
        <v>49</v>
      </c>
      <c r="R259" s="1" t="s">
        <v>1644</v>
      </c>
      <c r="S259" s="1" t="s">
        <v>1645</v>
      </c>
      <c r="T259" s="9">
        <v>22</v>
      </c>
      <c r="U259" s="1">
        <f>ROUNDUP(491.8*(1-$F$3),2)</f>
        <v>491.8</v>
      </c>
      <c r="V259" s="1">
        <v>181</v>
      </c>
      <c r="Y259" s="1" t="s">
        <v>969</v>
      </c>
      <c r="Z259" s="1" t="s">
        <v>128</v>
      </c>
      <c r="AA259" s="12">
        <v>44685</v>
      </c>
      <c r="AB259" s="1" t="s">
        <v>286</v>
      </c>
      <c r="AC259" s="1" t="s">
        <v>320</v>
      </c>
      <c r="AD259" s="1" t="s">
        <v>970</v>
      </c>
      <c r="AE259" s="1" t="s">
        <v>69</v>
      </c>
      <c r="AG259" s="1">
        <v>10410380</v>
      </c>
    </row>
    <row r="260" spans="1:33" s="1" customFormat="1" x14ac:dyDescent="0.25">
      <c r="C260" s="1" t="s">
        <v>1646</v>
      </c>
      <c r="D260" s="1" t="s">
        <v>1532</v>
      </c>
      <c r="E260" s="1" t="s">
        <v>1647</v>
      </c>
      <c r="F260" s="13" t="s">
        <v>6952</v>
      </c>
      <c r="G260" s="1" t="s">
        <v>762</v>
      </c>
      <c r="H260" s="1" t="s">
        <v>190</v>
      </c>
      <c r="I260" s="1">
        <v>448</v>
      </c>
      <c r="J260" s="1" t="s">
        <v>46</v>
      </c>
      <c r="M260" s="1" t="s">
        <v>756</v>
      </c>
      <c r="N260" s="1" t="s">
        <v>139</v>
      </c>
      <c r="O260" s="9">
        <v>7</v>
      </c>
      <c r="P260" s="1">
        <f>ROUNDUP(660*(1-$F$3),2)</f>
        <v>660</v>
      </c>
      <c r="Q260" s="1" t="s">
        <v>49</v>
      </c>
      <c r="R260" s="1" t="s">
        <v>1648</v>
      </c>
      <c r="S260" s="1" t="s">
        <v>1649</v>
      </c>
      <c r="T260" s="9">
        <v>10</v>
      </c>
      <c r="U260" s="1">
        <f>ROUNDUP(600*(1-$F$3),2)</f>
        <v>600</v>
      </c>
      <c r="V260" s="1">
        <v>225</v>
      </c>
      <c r="Y260" s="1" t="s">
        <v>1650</v>
      </c>
      <c r="Z260" s="1" t="s">
        <v>76</v>
      </c>
      <c r="AA260" s="12">
        <v>44355</v>
      </c>
      <c r="AB260" s="1" t="s">
        <v>66</v>
      </c>
      <c r="AC260" s="1" t="s">
        <v>143</v>
      </c>
      <c r="AD260" s="1" t="s">
        <v>144</v>
      </c>
      <c r="AE260" s="1" t="s">
        <v>878</v>
      </c>
      <c r="AG260" s="1">
        <v>9715140</v>
      </c>
    </row>
    <row r="261" spans="1:33" s="1" customFormat="1" x14ac:dyDescent="0.25">
      <c r="C261" s="1" t="s">
        <v>1651</v>
      </c>
      <c r="D261" s="1" t="s">
        <v>1532</v>
      </c>
      <c r="E261" s="1" t="s">
        <v>1652</v>
      </c>
      <c r="F261" s="13" t="s">
        <v>6952</v>
      </c>
      <c r="G261" s="1" t="s">
        <v>843</v>
      </c>
      <c r="H261" s="1" t="s">
        <v>190</v>
      </c>
      <c r="I261" s="1">
        <v>704</v>
      </c>
      <c r="J261" s="1" t="s">
        <v>46</v>
      </c>
      <c r="M261" s="1" t="s">
        <v>47</v>
      </c>
      <c r="N261" s="1" t="s">
        <v>139</v>
      </c>
      <c r="O261" s="9">
        <v>5</v>
      </c>
      <c r="P261" s="1">
        <f>ROUNDUP(770*(1-$F$3),2)</f>
        <v>770</v>
      </c>
      <c r="Q261" s="1" t="s">
        <v>49</v>
      </c>
      <c r="R261" s="1" t="s">
        <v>1653</v>
      </c>
      <c r="S261" s="1" t="s">
        <v>1654</v>
      </c>
      <c r="T261" s="9">
        <v>10</v>
      </c>
      <c r="U261" s="1">
        <f>ROUNDUP(700*(1-$F$3),2)</f>
        <v>700</v>
      </c>
      <c r="V261" s="1">
        <v>347</v>
      </c>
      <c r="Y261" s="1" t="s">
        <v>1655</v>
      </c>
      <c r="Z261" s="1" t="s">
        <v>53</v>
      </c>
      <c r="AA261" s="12">
        <v>43978</v>
      </c>
      <c r="AB261" s="1" t="s">
        <v>66</v>
      </c>
      <c r="AC261" s="1" t="s">
        <v>143</v>
      </c>
      <c r="AD261" s="1" t="s">
        <v>847</v>
      </c>
      <c r="AE261" s="1" t="s">
        <v>69</v>
      </c>
      <c r="AG261" s="1">
        <v>9400150</v>
      </c>
    </row>
    <row r="262" spans="1:33" s="1" customFormat="1" x14ac:dyDescent="0.25">
      <c r="C262" s="1" t="s">
        <v>1656</v>
      </c>
      <c r="D262" s="1" t="s">
        <v>1532</v>
      </c>
      <c r="E262" s="1" t="s">
        <v>773</v>
      </c>
      <c r="F262" s="13" t="s">
        <v>6952</v>
      </c>
      <c r="G262" s="1" t="s">
        <v>774</v>
      </c>
      <c r="H262" s="1" t="s">
        <v>190</v>
      </c>
      <c r="I262" s="1">
        <v>304</v>
      </c>
      <c r="J262" s="1" t="s">
        <v>46</v>
      </c>
      <c r="M262" s="1" t="s">
        <v>756</v>
      </c>
      <c r="N262" s="1" t="s">
        <v>139</v>
      </c>
      <c r="O262" s="9">
        <v>10</v>
      </c>
      <c r="P262" s="1">
        <f>ROUNDUP(530*(1-$F$3),2)</f>
        <v>530</v>
      </c>
      <c r="Q262" s="1" t="s">
        <v>49</v>
      </c>
      <c r="R262" s="1" t="s">
        <v>1657</v>
      </c>
      <c r="S262" s="1" t="s">
        <v>1658</v>
      </c>
      <c r="T262" s="9">
        <v>10</v>
      </c>
      <c r="U262" s="1">
        <f>ROUNDUP(481.82*(1-$F$3),2)</f>
        <v>481.82</v>
      </c>
      <c r="V262" s="1">
        <v>155</v>
      </c>
      <c r="Y262" s="1" t="s">
        <v>777</v>
      </c>
      <c r="Z262" s="1" t="s">
        <v>53</v>
      </c>
      <c r="AA262" s="12">
        <v>44371</v>
      </c>
      <c r="AB262" s="1" t="s">
        <v>66</v>
      </c>
      <c r="AC262" s="1" t="s">
        <v>143</v>
      </c>
      <c r="AD262" s="1" t="s">
        <v>144</v>
      </c>
      <c r="AE262" s="1" t="s">
        <v>878</v>
      </c>
      <c r="AG262" s="1">
        <v>9735220</v>
      </c>
    </row>
    <row r="263" spans="1:33" s="1" customFormat="1" x14ac:dyDescent="0.25">
      <c r="C263" s="1" t="s">
        <v>1659</v>
      </c>
      <c r="D263" s="1" t="s">
        <v>1532</v>
      </c>
      <c r="E263" s="1" t="s">
        <v>617</v>
      </c>
      <c r="F263" s="13" t="s">
        <v>6952</v>
      </c>
      <c r="G263" s="1" t="s">
        <v>569</v>
      </c>
      <c r="H263" s="1" t="s">
        <v>190</v>
      </c>
      <c r="I263" s="1">
        <v>416</v>
      </c>
      <c r="J263" s="1" t="s">
        <v>46</v>
      </c>
      <c r="M263" s="1" t="s">
        <v>161</v>
      </c>
      <c r="N263" s="1" t="s">
        <v>139</v>
      </c>
      <c r="O263" s="9">
        <v>7</v>
      </c>
      <c r="P263" s="1">
        <f>ROUNDUP(550*(1-$F$3),2)</f>
        <v>550</v>
      </c>
      <c r="Q263" s="1" t="s">
        <v>49</v>
      </c>
      <c r="R263" s="1" t="s">
        <v>1660</v>
      </c>
      <c r="S263" s="1" t="s">
        <v>1661</v>
      </c>
      <c r="T263" s="9">
        <v>10</v>
      </c>
      <c r="U263" s="1">
        <f>ROUNDUP(500*(1-$F$3),2)</f>
        <v>500</v>
      </c>
      <c r="V263" s="1">
        <v>209</v>
      </c>
      <c r="Y263" s="1" t="s">
        <v>620</v>
      </c>
      <c r="Z263" s="1" t="s">
        <v>53</v>
      </c>
      <c r="AA263" s="12">
        <v>45099</v>
      </c>
      <c r="AB263" s="1" t="s">
        <v>66</v>
      </c>
      <c r="AC263" s="1" t="s">
        <v>77</v>
      </c>
      <c r="AD263" s="1" t="s">
        <v>78</v>
      </c>
      <c r="AE263" s="1" t="s">
        <v>69</v>
      </c>
      <c r="AG263" s="1">
        <v>10943810</v>
      </c>
    </row>
    <row r="264" spans="1:33" s="1" customFormat="1" x14ac:dyDescent="0.25">
      <c r="C264" s="1" t="s">
        <v>1662</v>
      </c>
      <c r="D264" s="1" t="s">
        <v>1532</v>
      </c>
      <c r="E264" s="1" t="s">
        <v>972</v>
      </c>
      <c r="F264" s="13" t="s">
        <v>6952</v>
      </c>
      <c r="G264" s="1" t="s">
        <v>973</v>
      </c>
      <c r="H264" s="1" t="s">
        <v>190</v>
      </c>
      <c r="I264" s="1">
        <v>384</v>
      </c>
      <c r="J264" s="1" t="s">
        <v>46</v>
      </c>
      <c r="M264" s="1" t="s">
        <v>161</v>
      </c>
      <c r="N264" s="1" t="s">
        <v>139</v>
      </c>
      <c r="O264" s="9">
        <v>7</v>
      </c>
      <c r="P264" s="1">
        <f>ROUNDUP(550*(1-$F$3),2)</f>
        <v>550</v>
      </c>
      <c r="Q264" s="1" t="s">
        <v>49</v>
      </c>
      <c r="R264" s="1" t="s">
        <v>1663</v>
      </c>
      <c r="S264" s="1" t="s">
        <v>1664</v>
      </c>
      <c r="T264" s="9">
        <v>10</v>
      </c>
      <c r="U264" s="1">
        <f>ROUNDUP(500*(1-$F$3),2)</f>
        <v>500</v>
      </c>
      <c r="V264" s="1">
        <v>196</v>
      </c>
      <c r="Y264" s="1" t="s">
        <v>976</v>
      </c>
      <c r="Z264" s="1" t="s">
        <v>53</v>
      </c>
      <c r="AA264" s="12">
        <v>45099</v>
      </c>
      <c r="AB264" s="1" t="s">
        <v>66</v>
      </c>
      <c r="AC264" s="1" t="s">
        <v>683</v>
      </c>
      <c r="AD264" s="1" t="s">
        <v>684</v>
      </c>
      <c r="AE264" s="1" t="s">
        <v>69</v>
      </c>
      <c r="AG264" s="1">
        <v>10943820</v>
      </c>
    </row>
    <row r="265" spans="1:33" s="1" customFormat="1" x14ac:dyDescent="0.25">
      <c r="C265" s="1" t="s">
        <v>1665</v>
      </c>
      <c r="D265" s="1" t="s">
        <v>1532</v>
      </c>
      <c r="E265" s="1" t="s">
        <v>1666</v>
      </c>
      <c r="F265" s="13" t="s">
        <v>6952</v>
      </c>
      <c r="G265" s="1" t="s">
        <v>1500</v>
      </c>
      <c r="H265" s="1" t="s">
        <v>190</v>
      </c>
      <c r="I265" s="1">
        <v>464</v>
      </c>
      <c r="J265" s="1" t="s">
        <v>46</v>
      </c>
      <c r="M265" s="1" t="s">
        <v>62</v>
      </c>
      <c r="N265" s="1" t="s">
        <v>139</v>
      </c>
      <c r="O265" s="9">
        <v>7</v>
      </c>
      <c r="P265" s="1">
        <f>ROUNDUP(650*(1-$F$3),2)</f>
        <v>650</v>
      </c>
      <c r="Q265" s="1" t="s">
        <v>49</v>
      </c>
      <c r="R265" s="1" t="s">
        <v>1667</v>
      </c>
      <c r="S265" s="1" t="s">
        <v>1668</v>
      </c>
      <c r="T265" s="9">
        <v>10</v>
      </c>
      <c r="U265" s="1">
        <f>ROUNDUP(590.91*(1-$F$3),2)</f>
        <v>590.91</v>
      </c>
      <c r="V265" s="1">
        <v>227</v>
      </c>
      <c r="Y265" s="1" t="s">
        <v>1669</v>
      </c>
      <c r="Z265" s="1" t="s">
        <v>53</v>
      </c>
      <c r="AA265" s="12">
        <v>43825</v>
      </c>
      <c r="AB265" s="1" t="s">
        <v>66</v>
      </c>
      <c r="AC265" s="1" t="s">
        <v>491</v>
      </c>
      <c r="AD265" s="1" t="s">
        <v>492</v>
      </c>
      <c r="AE265" s="1" t="s">
        <v>69</v>
      </c>
      <c r="AG265" s="1">
        <v>9233970</v>
      </c>
    </row>
    <row r="266" spans="1:33" s="11" customFormat="1" x14ac:dyDescent="0.25">
      <c r="A266" s="11" t="s">
        <v>6953</v>
      </c>
      <c r="C266" s="11" t="s">
        <v>1670</v>
      </c>
      <c r="D266" s="11" t="s">
        <v>1532</v>
      </c>
      <c r="E266" s="11" t="s">
        <v>1671</v>
      </c>
      <c r="F266" s="14" t="s">
        <v>6952</v>
      </c>
      <c r="G266" s="11" t="s">
        <v>1500</v>
      </c>
      <c r="H266" s="11" t="s">
        <v>190</v>
      </c>
      <c r="I266" s="11">
        <v>704</v>
      </c>
      <c r="J266" s="11" t="s">
        <v>46</v>
      </c>
      <c r="K266" s="11" t="s">
        <v>1566</v>
      </c>
      <c r="M266" s="11" t="s">
        <v>62</v>
      </c>
      <c r="N266" s="11" t="s">
        <v>139</v>
      </c>
      <c r="O266" s="23">
        <v>4</v>
      </c>
      <c r="P266" s="11">
        <f>ROUNDUP(790*(1-$F$3),2)</f>
        <v>790</v>
      </c>
      <c r="Q266" s="11" t="s">
        <v>49</v>
      </c>
      <c r="R266" s="11" t="s">
        <v>1672</v>
      </c>
      <c r="S266" s="11" t="s">
        <v>1673</v>
      </c>
      <c r="T266" s="23">
        <v>10</v>
      </c>
      <c r="U266" s="11">
        <f>ROUNDUP(718.18*(1-$F$3),2)</f>
        <v>718.18</v>
      </c>
      <c r="V266" s="11">
        <v>344</v>
      </c>
      <c r="Y266" s="11" t="s">
        <v>1674</v>
      </c>
      <c r="Z266" s="11" t="s">
        <v>76</v>
      </c>
      <c r="AA266" s="15">
        <v>43866</v>
      </c>
      <c r="AB266" s="11" t="s">
        <v>66</v>
      </c>
      <c r="AC266" s="11" t="s">
        <v>491</v>
      </c>
      <c r="AD266" s="11" t="s">
        <v>492</v>
      </c>
      <c r="AE266" s="11" t="s">
        <v>69</v>
      </c>
      <c r="AG266" s="11">
        <v>9284320</v>
      </c>
    </row>
    <row r="267" spans="1:33" s="1" customFormat="1" x14ac:dyDescent="0.25">
      <c r="C267" s="1" t="s">
        <v>1675</v>
      </c>
      <c r="D267" s="1" t="s">
        <v>1532</v>
      </c>
      <c r="E267" s="1" t="s">
        <v>1676</v>
      </c>
      <c r="F267" s="13" t="s">
        <v>6952</v>
      </c>
      <c r="G267" s="1" t="s">
        <v>1500</v>
      </c>
      <c r="H267" s="1" t="s">
        <v>190</v>
      </c>
      <c r="I267" s="1">
        <v>528</v>
      </c>
      <c r="J267" s="1" t="s">
        <v>46</v>
      </c>
      <c r="M267" s="1" t="s">
        <v>47</v>
      </c>
      <c r="N267" s="1" t="s">
        <v>139</v>
      </c>
      <c r="O267" s="9">
        <v>6</v>
      </c>
      <c r="P267" s="1">
        <f>ROUNDUP(700*(1-$F$3),2)</f>
        <v>700</v>
      </c>
      <c r="Q267" s="1" t="s">
        <v>49</v>
      </c>
      <c r="R267" s="1" t="s">
        <v>1677</v>
      </c>
      <c r="S267" s="1" t="s">
        <v>1678</v>
      </c>
      <c r="T267" s="9">
        <v>10</v>
      </c>
      <c r="U267" s="1">
        <f>ROUNDUP(636.36*(1-$F$3),2)</f>
        <v>636.36</v>
      </c>
      <c r="V267" s="1">
        <v>263</v>
      </c>
      <c r="Y267" s="1" t="s">
        <v>1679</v>
      </c>
      <c r="Z267" s="1" t="s">
        <v>53</v>
      </c>
      <c r="AA267" s="12">
        <v>43850</v>
      </c>
      <c r="AB267" s="1" t="s">
        <v>66</v>
      </c>
      <c r="AC267" s="1" t="s">
        <v>491</v>
      </c>
      <c r="AD267" s="1" t="s">
        <v>492</v>
      </c>
      <c r="AE267" s="1" t="s">
        <v>69</v>
      </c>
      <c r="AG267" s="1">
        <v>9258210</v>
      </c>
    </row>
    <row r="268" spans="1:33" s="11" customFormat="1" x14ac:dyDescent="0.25">
      <c r="A268" s="11" t="s">
        <v>6953</v>
      </c>
      <c r="C268" s="11" t="s">
        <v>1680</v>
      </c>
      <c r="D268" s="11" t="s">
        <v>1532</v>
      </c>
      <c r="E268" s="11" t="s">
        <v>1681</v>
      </c>
      <c r="F268" s="14" t="s">
        <v>6952</v>
      </c>
      <c r="G268" s="11" t="s">
        <v>495</v>
      </c>
      <c r="H268" s="11" t="s">
        <v>190</v>
      </c>
      <c r="I268" s="11">
        <v>320</v>
      </c>
      <c r="J268" s="11" t="s">
        <v>46</v>
      </c>
      <c r="M268" s="11" t="s">
        <v>62</v>
      </c>
      <c r="N268" s="11" t="s">
        <v>139</v>
      </c>
      <c r="O268" s="23">
        <v>10</v>
      </c>
      <c r="P268" s="11">
        <f>ROUNDUP(690*(1-$F$3),2)</f>
        <v>690</v>
      </c>
      <c r="Q268" s="11" t="s">
        <v>49</v>
      </c>
      <c r="R268" s="11" t="s">
        <v>1682</v>
      </c>
      <c r="S268" s="11" t="s">
        <v>1683</v>
      </c>
      <c r="T268" s="23">
        <v>10</v>
      </c>
      <c r="U268" s="11">
        <f>ROUNDUP(627.27*(1-$F$3),2)</f>
        <v>627.27</v>
      </c>
      <c r="V268" s="11">
        <v>222</v>
      </c>
      <c r="Y268" s="11" t="s">
        <v>1684</v>
      </c>
      <c r="Z268" s="11" t="s">
        <v>53</v>
      </c>
      <c r="AA268" s="15">
        <v>45099</v>
      </c>
      <c r="AB268" s="11" t="s">
        <v>66</v>
      </c>
      <c r="AC268" s="11" t="s">
        <v>499</v>
      </c>
      <c r="AD268" s="11" t="s">
        <v>500</v>
      </c>
      <c r="AE268" s="11" t="s">
        <v>69</v>
      </c>
      <c r="AG268" s="11">
        <v>10943890</v>
      </c>
    </row>
    <row r="269" spans="1:33" s="1" customFormat="1" x14ac:dyDescent="0.25">
      <c r="C269" s="1" t="s">
        <v>1685</v>
      </c>
      <c r="D269" s="1" t="s">
        <v>1532</v>
      </c>
      <c r="E269" s="1" t="s">
        <v>1686</v>
      </c>
      <c r="F269" s="13" t="s">
        <v>6952</v>
      </c>
      <c r="G269" s="1" t="s">
        <v>495</v>
      </c>
      <c r="H269" s="1" t="s">
        <v>190</v>
      </c>
      <c r="I269" s="1">
        <v>320</v>
      </c>
      <c r="J269" s="1" t="s">
        <v>46</v>
      </c>
      <c r="M269" s="1" t="s">
        <v>161</v>
      </c>
      <c r="N269" s="1" t="s">
        <v>139</v>
      </c>
      <c r="O269" s="9">
        <v>8</v>
      </c>
      <c r="P269" s="1">
        <f>ROUNDUP(530*(1-$F$3),2)</f>
        <v>530</v>
      </c>
      <c r="Q269" s="1" t="s">
        <v>49</v>
      </c>
      <c r="R269" s="1" t="s">
        <v>1687</v>
      </c>
      <c r="S269" s="1" t="s">
        <v>1688</v>
      </c>
      <c r="T269" s="9">
        <v>22</v>
      </c>
      <c r="U269" s="1">
        <f>ROUNDUP(434.43*(1-$F$3),2)</f>
        <v>434.43</v>
      </c>
      <c r="V269" s="1">
        <v>166</v>
      </c>
      <c r="Y269" s="1" t="s">
        <v>1689</v>
      </c>
      <c r="Z269" s="1" t="s">
        <v>76</v>
      </c>
      <c r="AA269" s="12">
        <v>44364</v>
      </c>
      <c r="AB269" s="1" t="s">
        <v>66</v>
      </c>
      <c r="AC269" s="1" t="s">
        <v>499</v>
      </c>
      <c r="AD269" s="1" t="s">
        <v>500</v>
      </c>
      <c r="AE269" s="1" t="s">
        <v>878</v>
      </c>
      <c r="AG269" s="1">
        <v>9726270</v>
      </c>
    </row>
    <row r="270" spans="1:33" s="1" customFormat="1" x14ac:dyDescent="0.25">
      <c r="C270" s="1" t="s">
        <v>1690</v>
      </c>
      <c r="D270" s="1" t="s">
        <v>1532</v>
      </c>
      <c r="E270" s="1" t="s">
        <v>1691</v>
      </c>
      <c r="F270" s="13" t="s">
        <v>6952</v>
      </c>
      <c r="G270" s="1" t="s">
        <v>495</v>
      </c>
      <c r="H270" s="1" t="s">
        <v>190</v>
      </c>
      <c r="I270" s="1">
        <v>640</v>
      </c>
      <c r="J270" s="1" t="s">
        <v>46</v>
      </c>
      <c r="M270" s="1" t="s">
        <v>62</v>
      </c>
      <c r="N270" s="1" t="s">
        <v>139</v>
      </c>
      <c r="O270" s="9"/>
      <c r="P270" s="1">
        <f>ROUNDUP(880*(1-$F$3),2)</f>
        <v>880</v>
      </c>
      <c r="Q270" s="1" t="s">
        <v>49</v>
      </c>
      <c r="R270" s="1" t="s">
        <v>1692</v>
      </c>
      <c r="S270" s="1" t="s">
        <v>1693</v>
      </c>
      <c r="T270" s="9">
        <v>22</v>
      </c>
      <c r="U270" s="1">
        <f>ROUNDUP(721.31*(1-$F$3),2)</f>
        <v>721.31</v>
      </c>
      <c r="V270" s="1">
        <v>331</v>
      </c>
      <c r="Y270" s="1" t="s">
        <v>1694</v>
      </c>
      <c r="Z270" s="1" t="s">
        <v>76</v>
      </c>
      <c r="AA270" s="12">
        <v>45672</v>
      </c>
      <c r="AB270" s="1" t="s">
        <v>66</v>
      </c>
      <c r="AC270" s="1" t="s">
        <v>499</v>
      </c>
      <c r="AD270" s="1" t="s">
        <v>500</v>
      </c>
      <c r="AE270" s="1" t="s">
        <v>878</v>
      </c>
      <c r="AG270" s="1">
        <v>11618920</v>
      </c>
    </row>
    <row r="271" spans="1:33" s="1" customFormat="1" x14ac:dyDescent="0.25">
      <c r="C271" s="1" t="s">
        <v>1695</v>
      </c>
      <c r="D271" s="1" t="s">
        <v>1532</v>
      </c>
      <c r="E271" s="1" t="s">
        <v>1696</v>
      </c>
      <c r="F271" s="13" t="s">
        <v>6952</v>
      </c>
      <c r="G271" s="1" t="s">
        <v>1697</v>
      </c>
      <c r="H271" s="1" t="s">
        <v>190</v>
      </c>
      <c r="I271" s="1">
        <v>528</v>
      </c>
      <c r="J271" s="1" t="s">
        <v>46</v>
      </c>
      <c r="M271" s="1" t="s">
        <v>161</v>
      </c>
      <c r="N271" s="1" t="s">
        <v>139</v>
      </c>
      <c r="O271" s="9">
        <v>6</v>
      </c>
      <c r="P271" s="1">
        <f>ROUNDUP(610*(1-$F$3),2)</f>
        <v>610</v>
      </c>
      <c r="Q271" s="1" t="s">
        <v>49</v>
      </c>
      <c r="R271" s="1" t="s">
        <v>1698</v>
      </c>
      <c r="S271" s="1" t="s">
        <v>1699</v>
      </c>
      <c r="T271" s="9">
        <v>22</v>
      </c>
      <c r="U271" s="1">
        <f>ROUNDUP(500*(1-$F$3),2)</f>
        <v>500</v>
      </c>
      <c r="V271" s="1">
        <v>263</v>
      </c>
      <c r="Y271" s="1" t="s">
        <v>1700</v>
      </c>
      <c r="Z271" s="1" t="s">
        <v>76</v>
      </c>
      <c r="AA271" s="12">
        <v>45099</v>
      </c>
      <c r="AB271" s="1" t="s">
        <v>66</v>
      </c>
      <c r="AC271" s="1" t="s">
        <v>120</v>
      </c>
      <c r="AD271" s="1" t="s">
        <v>121</v>
      </c>
      <c r="AE271" s="1" t="s">
        <v>69</v>
      </c>
      <c r="AG271" s="1">
        <v>10943980</v>
      </c>
    </row>
    <row r="272" spans="1:33" s="1" customFormat="1" x14ac:dyDescent="0.25">
      <c r="C272" s="1" t="s">
        <v>1701</v>
      </c>
      <c r="D272" s="1" t="s">
        <v>1702</v>
      </c>
      <c r="E272" s="1" t="s">
        <v>1703</v>
      </c>
      <c r="F272" s="13" t="s">
        <v>6952</v>
      </c>
      <c r="G272" s="1" t="s">
        <v>1704</v>
      </c>
      <c r="H272" s="1" t="s">
        <v>160</v>
      </c>
      <c r="I272" s="1">
        <v>463</v>
      </c>
      <c r="J272" s="1" t="s">
        <v>46</v>
      </c>
      <c r="K272" s="1" t="s">
        <v>1566</v>
      </c>
      <c r="M272" s="1" t="s">
        <v>835</v>
      </c>
      <c r="N272" s="1" t="s">
        <v>48</v>
      </c>
      <c r="O272" s="9">
        <v>8</v>
      </c>
      <c r="P272" s="1">
        <f>ROUNDUP(1250*(1-$F$3),2)</f>
        <v>1250</v>
      </c>
      <c r="Q272" s="1" t="s">
        <v>49</v>
      </c>
      <c r="R272" s="1" t="s">
        <v>1705</v>
      </c>
      <c r="S272" s="1" t="s">
        <v>1706</v>
      </c>
      <c r="T272" s="9">
        <v>10</v>
      </c>
      <c r="U272" s="1">
        <f>ROUNDUP(1136.36*(1-$F$3),2)</f>
        <v>1136.3599999999999</v>
      </c>
      <c r="V272" s="1">
        <v>482</v>
      </c>
      <c r="Y272" s="1" t="s">
        <v>1707</v>
      </c>
      <c r="Z272" s="1" t="s">
        <v>128</v>
      </c>
      <c r="AA272" s="12">
        <v>43794</v>
      </c>
      <c r="AB272" s="1" t="s">
        <v>728</v>
      </c>
      <c r="AC272" s="1" t="s">
        <v>729</v>
      </c>
      <c r="AD272" s="1" t="s">
        <v>1708</v>
      </c>
      <c r="AE272" s="1" t="s">
        <v>69</v>
      </c>
      <c r="AG272" s="1">
        <v>9217370</v>
      </c>
    </row>
    <row r="273" spans="1:33" s="1" customFormat="1" x14ac:dyDescent="0.25">
      <c r="C273" s="1" t="s">
        <v>1709</v>
      </c>
      <c r="D273" s="1" t="s">
        <v>1710</v>
      </c>
      <c r="E273" s="1" t="s">
        <v>1711</v>
      </c>
      <c r="F273" s="13" t="s">
        <v>6952</v>
      </c>
      <c r="G273" s="1" t="s">
        <v>888</v>
      </c>
      <c r="H273" s="1" t="s">
        <v>190</v>
      </c>
      <c r="I273" s="1">
        <v>256</v>
      </c>
      <c r="J273" s="1" t="s">
        <v>46</v>
      </c>
      <c r="M273" s="1" t="s">
        <v>62</v>
      </c>
      <c r="N273" s="1" t="s">
        <v>139</v>
      </c>
      <c r="O273" s="9">
        <v>8</v>
      </c>
      <c r="P273" s="1">
        <f>ROUNDUP(790*(1-$F$3),2)</f>
        <v>790</v>
      </c>
      <c r="Q273" s="1" t="s">
        <v>49</v>
      </c>
      <c r="R273" s="1" t="s">
        <v>1712</v>
      </c>
      <c r="S273" s="1" t="s">
        <v>1713</v>
      </c>
      <c r="T273" s="9">
        <v>10</v>
      </c>
      <c r="U273" s="1">
        <f>ROUNDUP(718.18*(1-$F$3),2)</f>
        <v>718.18</v>
      </c>
      <c r="V273" s="1">
        <v>156</v>
      </c>
      <c r="Y273" s="1" t="s">
        <v>1714</v>
      </c>
      <c r="Z273" s="1" t="s">
        <v>53</v>
      </c>
      <c r="AA273" s="12">
        <v>43857</v>
      </c>
      <c r="AB273" s="1" t="s">
        <v>95</v>
      </c>
      <c r="AC273" s="1" t="s">
        <v>112</v>
      </c>
      <c r="AD273" s="1" t="s">
        <v>839</v>
      </c>
      <c r="AE273" s="1" t="s">
        <v>69</v>
      </c>
      <c r="AG273" s="1">
        <v>9273050</v>
      </c>
    </row>
    <row r="274" spans="1:33" s="1" customFormat="1" x14ac:dyDescent="0.25">
      <c r="C274" s="1" t="s">
        <v>1715</v>
      </c>
      <c r="D274" s="1" t="s">
        <v>1710</v>
      </c>
      <c r="E274" s="1" t="s">
        <v>1245</v>
      </c>
      <c r="F274" s="13" t="s">
        <v>6952</v>
      </c>
      <c r="G274" s="1" t="s">
        <v>888</v>
      </c>
      <c r="H274" s="1" t="s">
        <v>190</v>
      </c>
      <c r="I274" s="1">
        <v>320</v>
      </c>
      <c r="J274" s="1" t="s">
        <v>46</v>
      </c>
      <c r="M274" s="1" t="s">
        <v>62</v>
      </c>
      <c r="N274" s="1" t="s">
        <v>139</v>
      </c>
      <c r="O274" s="9">
        <v>10</v>
      </c>
      <c r="P274" s="1">
        <f>ROUNDUP(650*(1-$F$3),2)</f>
        <v>650</v>
      </c>
      <c r="Q274" s="1" t="s">
        <v>49</v>
      </c>
      <c r="R274" s="1" t="s">
        <v>1716</v>
      </c>
      <c r="S274" s="1" t="s">
        <v>1717</v>
      </c>
      <c r="T274" s="9">
        <v>10</v>
      </c>
      <c r="U274" s="1">
        <f>ROUNDUP(590.91*(1-$F$3),2)</f>
        <v>590.91</v>
      </c>
      <c r="V274" s="1">
        <v>165</v>
      </c>
      <c r="Y274" s="1" t="s">
        <v>1248</v>
      </c>
      <c r="Z274" s="1" t="s">
        <v>53</v>
      </c>
      <c r="AA274" s="12">
        <v>43857</v>
      </c>
      <c r="AB274" s="1" t="s">
        <v>95</v>
      </c>
      <c r="AC274" s="1" t="s">
        <v>112</v>
      </c>
      <c r="AD274" s="1" t="s">
        <v>839</v>
      </c>
      <c r="AE274" s="1" t="s">
        <v>69</v>
      </c>
      <c r="AG274" s="1">
        <v>9270850</v>
      </c>
    </row>
    <row r="275" spans="1:33" s="1" customFormat="1" x14ac:dyDescent="0.25">
      <c r="C275" s="1" t="s">
        <v>1718</v>
      </c>
      <c r="D275" s="1" t="s">
        <v>1710</v>
      </c>
      <c r="E275" s="1" t="s">
        <v>887</v>
      </c>
      <c r="F275" s="13" t="s">
        <v>6952</v>
      </c>
      <c r="G275" s="1" t="s">
        <v>888</v>
      </c>
      <c r="H275" s="1" t="s">
        <v>190</v>
      </c>
      <c r="I275" s="1">
        <v>304</v>
      </c>
      <c r="J275" s="1" t="s">
        <v>46</v>
      </c>
      <c r="M275" s="1" t="s">
        <v>62</v>
      </c>
      <c r="N275" s="1" t="s">
        <v>139</v>
      </c>
      <c r="O275" s="9">
        <v>8</v>
      </c>
      <c r="P275" s="1">
        <f>ROUNDUP(610*(1-$F$3),2)</f>
        <v>610</v>
      </c>
      <c r="Q275" s="1" t="s">
        <v>49</v>
      </c>
      <c r="R275" s="1" t="s">
        <v>1719</v>
      </c>
      <c r="S275" s="1" t="s">
        <v>1720</v>
      </c>
      <c r="T275" s="9">
        <v>10</v>
      </c>
      <c r="U275" s="1">
        <f>ROUNDUP(554.55*(1-$F$3),2)</f>
        <v>554.54999999999995</v>
      </c>
      <c r="V275" s="1">
        <v>149</v>
      </c>
      <c r="Y275" s="1" t="s">
        <v>891</v>
      </c>
      <c r="Z275" s="1" t="s">
        <v>53</v>
      </c>
      <c r="AA275" s="12">
        <v>43857</v>
      </c>
      <c r="AB275" s="1" t="s">
        <v>334</v>
      </c>
      <c r="AC275" s="1" t="s">
        <v>892</v>
      </c>
      <c r="AD275" s="1" t="s">
        <v>893</v>
      </c>
      <c r="AE275" s="1" t="s">
        <v>69</v>
      </c>
      <c r="AG275" s="1">
        <v>9270860</v>
      </c>
    </row>
    <row r="276" spans="1:33" s="1" customFormat="1" x14ac:dyDescent="0.25">
      <c r="C276" s="1" t="s">
        <v>1721</v>
      </c>
      <c r="D276" s="1" t="s">
        <v>1710</v>
      </c>
      <c r="E276" s="1" t="s">
        <v>1722</v>
      </c>
      <c r="F276" s="13" t="s">
        <v>6952</v>
      </c>
      <c r="G276" s="1" t="s">
        <v>1723</v>
      </c>
      <c r="H276" s="1" t="s">
        <v>1240</v>
      </c>
      <c r="I276" s="1">
        <v>320</v>
      </c>
      <c r="J276" s="1" t="s">
        <v>46</v>
      </c>
      <c r="M276" s="1" t="s">
        <v>62</v>
      </c>
      <c r="N276" s="1" t="s">
        <v>139</v>
      </c>
      <c r="O276" s="9">
        <v>5</v>
      </c>
      <c r="P276" s="1">
        <f>ROUNDUP(715*(1-$F$3),2)</f>
        <v>715</v>
      </c>
      <c r="Q276" s="1" t="s">
        <v>49</v>
      </c>
      <c r="R276" s="1" t="s">
        <v>1724</v>
      </c>
      <c r="S276" s="1" t="s">
        <v>1725</v>
      </c>
      <c r="T276" s="9">
        <v>10</v>
      </c>
      <c r="U276" s="1">
        <f>ROUNDUP(650*(1-$F$3),2)</f>
        <v>650</v>
      </c>
      <c r="V276" s="1">
        <v>181</v>
      </c>
      <c r="Y276" s="1" t="s">
        <v>905</v>
      </c>
      <c r="Z276" s="1" t="s">
        <v>128</v>
      </c>
      <c r="AA276" s="12">
        <v>43976</v>
      </c>
      <c r="AB276" s="1" t="s">
        <v>334</v>
      </c>
      <c r="AC276" s="1" t="s">
        <v>892</v>
      </c>
      <c r="AD276" s="1" t="s">
        <v>893</v>
      </c>
      <c r="AE276" s="1" t="s">
        <v>69</v>
      </c>
      <c r="AG276" s="1">
        <v>9399610</v>
      </c>
    </row>
    <row r="277" spans="1:33" s="1" customFormat="1" x14ac:dyDescent="0.25">
      <c r="C277" s="1" t="s">
        <v>1726</v>
      </c>
      <c r="D277" s="1" t="s">
        <v>1727</v>
      </c>
      <c r="E277" s="1" t="s">
        <v>1239</v>
      </c>
      <c r="F277" s="13" t="s">
        <v>6952</v>
      </c>
      <c r="G277" s="1" t="s">
        <v>888</v>
      </c>
      <c r="H277" s="1" t="s">
        <v>61</v>
      </c>
      <c r="I277" s="1">
        <v>800</v>
      </c>
      <c r="J277" s="1" t="s">
        <v>46</v>
      </c>
      <c r="M277" s="1" t="s">
        <v>47</v>
      </c>
      <c r="N277" s="1" t="s">
        <v>48</v>
      </c>
      <c r="O277" s="9">
        <v>3</v>
      </c>
      <c r="P277" s="1">
        <f>ROUNDUP(2180*(1-$F$3),2)</f>
        <v>2180</v>
      </c>
      <c r="Q277" s="1" t="s">
        <v>49</v>
      </c>
      <c r="R277" s="1" t="s">
        <v>1728</v>
      </c>
      <c r="S277" s="1" t="s">
        <v>1729</v>
      </c>
      <c r="T277" s="9">
        <v>10</v>
      </c>
      <c r="U277" s="1">
        <f>ROUNDUP(1981.82*(1-$F$3),2)</f>
        <v>1981.82</v>
      </c>
      <c r="V277" s="1">
        <v>724</v>
      </c>
      <c r="Y277" s="1" t="s">
        <v>1243</v>
      </c>
      <c r="Z277" s="1" t="s">
        <v>53</v>
      </c>
      <c r="AA277" s="12">
        <v>44593</v>
      </c>
      <c r="AB277" s="1" t="s">
        <v>95</v>
      </c>
      <c r="AC277" s="1" t="s">
        <v>112</v>
      </c>
      <c r="AD277" s="1" t="s">
        <v>839</v>
      </c>
      <c r="AE277" s="1" t="s">
        <v>69</v>
      </c>
      <c r="AG277" s="1">
        <v>10236540</v>
      </c>
    </row>
    <row r="278" spans="1:33" s="1" customFormat="1" x14ac:dyDescent="0.25">
      <c r="C278" s="1" t="s">
        <v>1730</v>
      </c>
      <c r="D278" s="1" t="s">
        <v>1731</v>
      </c>
      <c r="E278" s="1" t="s">
        <v>1245</v>
      </c>
      <c r="F278" s="13" t="s">
        <v>6952</v>
      </c>
      <c r="G278" s="1" t="s">
        <v>888</v>
      </c>
      <c r="H278" s="1" t="s">
        <v>61</v>
      </c>
      <c r="I278" s="1">
        <v>896</v>
      </c>
      <c r="J278" s="1" t="s">
        <v>46</v>
      </c>
      <c r="M278" s="1" t="s">
        <v>47</v>
      </c>
      <c r="N278" s="1" t="s">
        <v>48</v>
      </c>
      <c r="O278" s="9">
        <v>4</v>
      </c>
      <c r="P278" s="1">
        <f>ROUNDUP(1940*(1-$F$3),2)</f>
        <v>1940</v>
      </c>
      <c r="Q278" s="1" t="s">
        <v>49</v>
      </c>
      <c r="R278" s="1" t="s">
        <v>1732</v>
      </c>
      <c r="S278" s="1" t="s">
        <v>1733</v>
      </c>
      <c r="T278" s="9">
        <v>10</v>
      </c>
      <c r="U278" s="1">
        <f>ROUNDUP(1763.64*(1-$F$3),2)</f>
        <v>1763.64</v>
      </c>
      <c r="V278" s="1">
        <v>911</v>
      </c>
      <c r="Y278" s="1" t="s">
        <v>1248</v>
      </c>
      <c r="Z278" s="1" t="s">
        <v>53</v>
      </c>
      <c r="AA278" s="12">
        <v>43787</v>
      </c>
      <c r="AB278" s="1" t="s">
        <v>95</v>
      </c>
      <c r="AC278" s="1" t="s">
        <v>112</v>
      </c>
      <c r="AD278" s="1" t="s">
        <v>839</v>
      </c>
      <c r="AE278" s="1" t="s">
        <v>69</v>
      </c>
      <c r="AG278" s="1">
        <v>9208070</v>
      </c>
    </row>
    <row r="279" spans="1:33" s="1" customFormat="1" x14ac:dyDescent="0.25">
      <c r="C279" s="1" t="s">
        <v>1734</v>
      </c>
      <c r="D279" s="1" t="s">
        <v>1731</v>
      </c>
      <c r="E279" s="1" t="s">
        <v>1245</v>
      </c>
      <c r="F279" s="13" t="s">
        <v>6952</v>
      </c>
      <c r="G279" s="1" t="s">
        <v>888</v>
      </c>
      <c r="H279" s="1" t="s">
        <v>61</v>
      </c>
      <c r="I279" s="1">
        <v>896</v>
      </c>
      <c r="J279" s="1" t="s">
        <v>46</v>
      </c>
      <c r="M279" s="1" t="s">
        <v>62</v>
      </c>
      <c r="N279" s="1" t="s">
        <v>48</v>
      </c>
      <c r="O279" s="9">
        <v>6</v>
      </c>
      <c r="P279" s="1">
        <f>ROUNDUP(1595*(1-$F$3),2)</f>
        <v>1595</v>
      </c>
      <c r="Q279" s="1" t="s">
        <v>49</v>
      </c>
      <c r="R279" s="1" t="s">
        <v>1735</v>
      </c>
      <c r="S279" s="1" t="s">
        <v>1736</v>
      </c>
      <c r="T279" s="9">
        <v>10</v>
      </c>
      <c r="U279" s="1">
        <f>ROUNDUP(1450*(1-$F$3),2)</f>
        <v>1450</v>
      </c>
      <c r="V279" s="1">
        <v>683</v>
      </c>
      <c r="W279" s="1" t="s">
        <v>1545</v>
      </c>
      <c r="X279" s="1" t="s">
        <v>1546</v>
      </c>
      <c r="Y279" s="1" t="s">
        <v>1248</v>
      </c>
      <c r="Z279" s="1" t="s">
        <v>53</v>
      </c>
      <c r="AA279" s="12">
        <v>41681</v>
      </c>
      <c r="AB279" s="1" t="s">
        <v>95</v>
      </c>
      <c r="AC279" s="1" t="s">
        <v>112</v>
      </c>
      <c r="AD279" s="1" t="s">
        <v>839</v>
      </c>
      <c r="AE279" s="1" t="s">
        <v>69</v>
      </c>
      <c r="AG279" s="1">
        <v>6023810</v>
      </c>
    </row>
    <row r="280" spans="1:33" s="1" customFormat="1" x14ac:dyDescent="0.25">
      <c r="C280" s="1" t="s">
        <v>1737</v>
      </c>
      <c r="D280" s="1" t="s">
        <v>1731</v>
      </c>
      <c r="E280" s="1" t="s">
        <v>1738</v>
      </c>
      <c r="F280" s="13" t="s">
        <v>6952</v>
      </c>
      <c r="G280" s="1" t="s">
        <v>888</v>
      </c>
      <c r="H280" s="1" t="s">
        <v>61</v>
      </c>
      <c r="I280" s="1">
        <v>768</v>
      </c>
      <c r="J280" s="1" t="s">
        <v>46</v>
      </c>
      <c r="M280" s="1" t="s">
        <v>47</v>
      </c>
      <c r="N280" s="1" t="s">
        <v>48</v>
      </c>
      <c r="O280" s="9">
        <v>4</v>
      </c>
      <c r="P280" s="1">
        <f>ROUNDUP(1590*(1-$F$3),2)</f>
        <v>1590</v>
      </c>
      <c r="Q280" s="1" t="s">
        <v>49</v>
      </c>
      <c r="R280" s="1" t="s">
        <v>1739</v>
      </c>
      <c r="S280" s="1" t="s">
        <v>1740</v>
      </c>
      <c r="T280" s="9">
        <v>10</v>
      </c>
      <c r="U280" s="1">
        <f>ROUNDUP(1445.45*(1-$F$3),2)</f>
        <v>1445.45</v>
      </c>
      <c r="V280" s="1">
        <v>763</v>
      </c>
      <c r="W280" s="1" t="s">
        <v>1545</v>
      </c>
      <c r="X280" s="1" t="s">
        <v>1546</v>
      </c>
      <c r="Y280" s="1" t="s">
        <v>1741</v>
      </c>
      <c r="Z280" s="1" t="s">
        <v>53</v>
      </c>
      <c r="AA280" s="12">
        <v>41711</v>
      </c>
      <c r="AB280" s="1" t="s">
        <v>334</v>
      </c>
      <c r="AC280" s="1" t="s">
        <v>892</v>
      </c>
      <c r="AD280" s="1" t="s">
        <v>893</v>
      </c>
      <c r="AE280" s="1" t="s">
        <v>69</v>
      </c>
      <c r="AG280" s="1">
        <v>6071320</v>
      </c>
    </row>
    <row r="281" spans="1:33" s="11" customFormat="1" x14ac:dyDescent="0.25">
      <c r="A281" s="11" t="s">
        <v>6953</v>
      </c>
      <c r="C281" s="11" t="s">
        <v>1742</v>
      </c>
      <c r="D281" s="11" t="s">
        <v>1731</v>
      </c>
      <c r="E281" s="11" t="s">
        <v>1738</v>
      </c>
      <c r="F281" s="14" t="s">
        <v>6952</v>
      </c>
      <c r="G281" s="11" t="s">
        <v>888</v>
      </c>
      <c r="H281" s="11" t="s">
        <v>61</v>
      </c>
      <c r="I281" s="11">
        <v>768</v>
      </c>
      <c r="J281" s="11" t="s">
        <v>46</v>
      </c>
      <c r="M281" s="11" t="s">
        <v>62</v>
      </c>
      <c r="N281" s="11" t="s">
        <v>48</v>
      </c>
      <c r="O281" s="23">
        <v>4</v>
      </c>
      <c r="P281" s="11">
        <f>ROUNDUP(1950*(1-$F$3),2)</f>
        <v>1950</v>
      </c>
      <c r="Q281" s="11" t="s">
        <v>49</v>
      </c>
      <c r="R281" s="11" t="s">
        <v>1743</v>
      </c>
      <c r="S281" s="11" t="s">
        <v>1744</v>
      </c>
      <c r="T281" s="23">
        <v>10</v>
      </c>
      <c r="U281" s="11">
        <f>ROUNDUP(1772.73*(1-$F$3),2)</f>
        <v>1772.73</v>
      </c>
      <c r="V281" s="11">
        <v>764</v>
      </c>
      <c r="Y281" s="11" t="s">
        <v>1741</v>
      </c>
      <c r="Z281" s="11" t="s">
        <v>53</v>
      </c>
      <c r="AA281" s="15">
        <v>43762</v>
      </c>
      <c r="AB281" s="11" t="s">
        <v>334</v>
      </c>
      <c r="AC281" s="11" t="s">
        <v>892</v>
      </c>
      <c r="AD281" s="11" t="s">
        <v>893</v>
      </c>
      <c r="AE281" s="11" t="s">
        <v>69</v>
      </c>
      <c r="AG281" s="11">
        <v>9187370</v>
      </c>
    </row>
    <row r="282" spans="1:33" s="1" customFormat="1" x14ac:dyDescent="0.25">
      <c r="C282" s="1" t="s">
        <v>1745</v>
      </c>
      <c r="D282" s="1" t="s">
        <v>1731</v>
      </c>
      <c r="E282" s="1" t="s">
        <v>1746</v>
      </c>
      <c r="F282" s="13" t="s">
        <v>6952</v>
      </c>
      <c r="G282" s="1" t="s">
        <v>1747</v>
      </c>
      <c r="H282" s="1" t="s">
        <v>61</v>
      </c>
      <c r="I282" s="1">
        <v>464</v>
      </c>
      <c r="J282" s="1" t="s">
        <v>46</v>
      </c>
      <c r="K282" s="1" t="s">
        <v>1566</v>
      </c>
      <c r="M282" s="1" t="s">
        <v>47</v>
      </c>
      <c r="N282" s="1" t="s">
        <v>48</v>
      </c>
      <c r="O282" s="9">
        <v>5</v>
      </c>
      <c r="P282" s="1">
        <f>ROUNDUP(1520*(1-$F$3),2)</f>
        <v>1520</v>
      </c>
      <c r="Q282" s="1" t="s">
        <v>49</v>
      </c>
      <c r="R282" s="1" t="s">
        <v>1748</v>
      </c>
      <c r="S282" s="1" t="s">
        <v>1749</v>
      </c>
      <c r="T282" s="9">
        <v>10</v>
      </c>
      <c r="U282" s="1">
        <f>ROUNDUP(1381.82*(1-$F$3),2)</f>
        <v>1381.82</v>
      </c>
      <c r="V282" s="1">
        <v>507</v>
      </c>
      <c r="Y282" s="1" t="s">
        <v>1750</v>
      </c>
      <c r="Z282" s="1" t="s">
        <v>128</v>
      </c>
      <c r="AA282" s="12">
        <v>43719</v>
      </c>
      <c r="AB282" s="1" t="s">
        <v>86</v>
      </c>
      <c r="AC282" s="1" t="s">
        <v>87</v>
      </c>
      <c r="AD282" s="1" t="s">
        <v>1751</v>
      </c>
      <c r="AE282" s="1" t="s">
        <v>69</v>
      </c>
      <c r="AG282" s="1">
        <v>9133360</v>
      </c>
    </row>
    <row r="283" spans="1:33" s="1" customFormat="1" x14ac:dyDescent="0.25">
      <c r="C283" s="1" t="s">
        <v>1752</v>
      </c>
      <c r="D283" s="1" t="s">
        <v>1731</v>
      </c>
      <c r="E283" s="1" t="s">
        <v>1753</v>
      </c>
      <c r="F283" s="13" t="s">
        <v>6952</v>
      </c>
      <c r="G283" s="1" t="s">
        <v>1416</v>
      </c>
      <c r="H283" s="1" t="s">
        <v>61</v>
      </c>
      <c r="I283" s="1">
        <v>576</v>
      </c>
      <c r="J283" s="1" t="s">
        <v>46</v>
      </c>
      <c r="M283" s="1" t="s">
        <v>161</v>
      </c>
      <c r="N283" s="1" t="s">
        <v>48</v>
      </c>
      <c r="O283" s="9">
        <v>6</v>
      </c>
      <c r="P283" s="1">
        <f>ROUNDUP(1820*(1-$F$3),2)</f>
        <v>1820</v>
      </c>
      <c r="Q283" s="1" t="s">
        <v>49</v>
      </c>
      <c r="R283" s="1" t="s">
        <v>1754</v>
      </c>
      <c r="S283" s="1" t="s">
        <v>1755</v>
      </c>
      <c r="T283" s="9">
        <v>10</v>
      </c>
      <c r="U283" s="1">
        <f>ROUNDUP(1654.55*(1-$F$3),2)</f>
        <v>1654.55</v>
      </c>
      <c r="V283" s="1">
        <v>687</v>
      </c>
      <c r="Y283" s="1" t="s">
        <v>1756</v>
      </c>
      <c r="Z283" s="1" t="s">
        <v>1757</v>
      </c>
      <c r="AA283" s="12">
        <v>42647</v>
      </c>
      <c r="AB283" s="1" t="s">
        <v>95</v>
      </c>
      <c r="AC283" s="1" t="s">
        <v>96</v>
      </c>
      <c r="AD283" s="1" t="s">
        <v>1385</v>
      </c>
      <c r="AE283" s="1" t="s">
        <v>69</v>
      </c>
      <c r="AG283" s="1">
        <v>7792410</v>
      </c>
    </row>
    <row r="284" spans="1:33" s="1" customFormat="1" x14ac:dyDescent="0.25">
      <c r="C284" s="1" t="s">
        <v>1758</v>
      </c>
      <c r="D284" s="1" t="s">
        <v>1731</v>
      </c>
      <c r="E284" s="1" t="s">
        <v>1759</v>
      </c>
      <c r="F284" s="13" t="s">
        <v>6952</v>
      </c>
      <c r="G284" s="1" t="s">
        <v>1723</v>
      </c>
      <c r="H284" s="1" t="s">
        <v>61</v>
      </c>
      <c r="I284" s="1">
        <v>624</v>
      </c>
      <c r="J284" s="1" t="s">
        <v>46</v>
      </c>
      <c r="M284" s="1" t="s">
        <v>62</v>
      </c>
      <c r="N284" s="1" t="s">
        <v>48</v>
      </c>
      <c r="O284" s="9">
        <v>6</v>
      </c>
      <c r="P284" s="1">
        <f>ROUNDUP(1490*(1-$F$3),2)</f>
        <v>1490</v>
      </c>
      <c r="Q284" s="1" t="s">
        <v>49</v>
      </c>
      <c r="R284" s="1" t="s">
        <v>1760</v>
      </c>
      <c r="S284" s="1" t="s">
        <v>1761</v>
      </c>
      <c r="T284" s="9">
        <v>10</v>
      </c>
      <c r="U284" s="1">
        <f>ROUNDUP(1354.55*(1-$F$3),2)</f>
        <v>1354.55</v>
      </c>
      <c r="V284" s="1">
        <v>647</v>
      </c>
      <c r="Y284" s="1" t="s">
        <v>1762</v>
      </c>
      <c r="Z284" s="1" t="s">
        <v>128</v>
      </c>
      <c r="AA284" s="12">
        <v>43253</v>
      </c>
      <c r="AB284" s="1" t="s">
        <v>334</v>
      </c>
      <c r="AC284" s="1" t="s">
        <v>892</v>
      </c>
      <c r="AD284" s="1" t="s">
        <v>893</v>
      </c>
      <c r="AE284" s="1" t="s">
        <v>69</v>
      </c>
      <c r="AG284" s="1">
        <v>8613260</v>
      </c>
    </row>
    <row r="285" spans="1:33" s="1" customFormat="1" x14ac:dyDescent="0.25">
      <c r="C285" s="1" t="s">
        <v>1763</v>
      </c>
      <c r="D285" s="1" t="s">
        <v>1731</v>
      </c>
      <c r="E285" s="1" t="s">
        <v>1764</v>
      </c>
      <c r="F285" s="13" t="s">
        <v>6952</v>
      </c>
      <c r="G285" s="1" t="s">
        <v>1765</v>
      </c>
      <c r="H285" s="1" t="s">
        <v>61</v>
      </c>
      <c r="I285" s="1">
        <v>416</v>
      </c>
      <c r="J285" s="1" t="s">
        <v>46</v>
      </c>
      <c r="M285" s="1" t="s">
        <v>176</v>
      </c>
      <c r="N285" s="1" t="s">
        <v>48</v>
      </c>
      <c r="O285" s="9">
        <v>8</v>
      </c>
      <c r="P285" s="1">
        <f>ROUNDUP(1400*(1-$F$3),2)</f>
        <v>1400</v>
      </c>
      <c r="Q285" s="1" t="s">
        <v>49</v>
      </c>
      <c r="R285" s="1" t="s">
        <v>1766</v>
      </c>
      <c r="S285" s="1" t="s">
        <v>1767</v>
      </c>
      <c r="T285" s="9">
        <v>10</v>
      </c>
      <c r="U285" s="1">
        <f>ROUNDUP(1272.73*(1-$F$3),2)</f>
        <v>1272.73</v>
      </c>
      <c r="V285" s="1">
        <v>423</v>
      </c>
      <c r="Y285" s="1" t="s">
        <v>1768</v>
      </c>
      <c r="Z285" s="1" t="s">
        <v>1757</v>
      </c>
      <c r="AA285" s="12">
        <v>42507</v>
      </c>
      <c r="AB285" s="1" t="s">
        <v>95</v>
      </c>
      <c r="AC285" s="1" t="s">
        <v>96</v>
      </c>
      <c r="AD285" s="1" t="s">
        <v>1385</v>
      </c>
      <c r="AE285" s="1" t="s">
        <v>69</v>
      </c>
      <c r="AG285" s="1">
        <v>7566030</v>
      </c>
    </row>
    <row r="286" spans="1:33" s="1" customFormat="1" x14ac:dyDescent="0.25">
      <c r="C286" s="1" t="s">
        <v>1769</v>
      </c>
      <c r="D286" s="1" t="s">
        <v>1731</v>
      </c>
      <c r="E286" s="1" t="s">
        <v>1770</v>
      </c>
      <c r="F286" s="13" t="s">
        <v>6952</v>
      </c>
      <c r="G286" s="1" t="s">
        <v>1771</v>
      </c>
      <c r="H286" s="1" t="s">
        <v>61</v>
      </c>
      <c r="I286" s="1">
        <v>782</v>
      </c>
      <c r="J286" s="1" t="s">
        <v>46</v>
      </c>
      <c r="M286" s="1" t="s">
        <v>169</v>
      </c>
      <c r="N286" s="1" t="s">
        <v>48</v>
      </c>
      <c r="O286" s="9">
        <v>6</v>
      </c>
      <c r="P286" s="1">
        <f>ROUNDUP(2060*(1-$F$3),2)</f>
        <v>2060</v>
      </c>
      <c r="Q286" s="1" t="s">
        <v>49</v>
      </c>
      <c r="R286" s="1" t="s">
        <v>1772</v>
      </c>
      <c r="S286" s="1" t="s">
        <v>1773</v>
      </c>
      <c r="T286" s="9">
        <v>10</v>
      </c>
      <c r="U286" s="1">
        <f>ROUNDUP(1872.73*(1-$F$3),2)</f>
        <v>1872.73</v>
      </c>
      <c r="V286" s="1">
        <v>921</v>
      </c>
      <c r="Y286" s="1" t="s">
        <v>1774</v>
      </c>
      <c r="Z286" s="1" t="s">
        <v>53</v>
      </c>
      <c r="AA286" s="12">
        <v>42975</v>
      </c>
      <c r="AB286" s="1" t="s">
        <v>334</v>
      </c>
      <c r="AC286" s="1" t="s">
        <v>892</v>
      </c>
      <c r="AD286" s="1" t="s">
        <v>1775</v>
      </c>
      <c r="AE286" s="1" t="s">
        <v>69</v>
      </c>
      <c r="AG286" s="1">
        <v>8203920</v>
      </c>
    </row>
    <row r="287" spans="1:33" s="1" customFormat="1" x14ac:dyDescent="0.25">
      <c r="C287" s="1" t="s">
        <v>1776</v>
      </c>
      <c r="D287" s="1" t="s">
        <v>1731</v>
      </c>
      <c r="E287" s="1" t="s">
        <v>1777</v>
      </c>
      <c r="F287" s="13" t="s">
        <v>6952</v>
      </c>
      <c r="G287" s="1" t="s">
        <v>1771</v>
      </c>
      <c r="H287" s="1" t="s">
        <v>61</v>
      </c>
      <c r="I287" s="1">
        <v>880</v>
      </c>
      <c r="J287" s="1" t="s">
        <v>46</v>
      </c>
      <c r="M287" s="1" t="s">
        <v>169</v>
      </c>
      <c r="N287" s="1" t="s">
        <v>48</v>
      </c>
      <c r="O287" s="9">
        <v>6</v>
      </c>
      <c r="P287" s="1">
        <f>ROUNDUP(2680*(1-$F$3),2)</f>
        <v>2680</v>
      </c>
      <c r="Q287" s="1" t="s">
        <v>49</v>
      </c>
      <c r="R287" s="1" t="s">
        <v>1778</v>
      </c>
      <c r="S287" s="1" t="s">
        <v>1779</v>
      </c>
      <c r="T287" s="9">
        <v>10</v>
      </c>
      <c r="U287" s="1">
        <f>ROUNDUP(2436.36*(1-$F$3),2)</f>
        <v>2436.36</v>
      </c>
      <c r="V287" s="1">
        <v>1025</v>
      </c>
      <c r="Y287" s="1" t="s">
        <v>1780</v>
      </c>
      <c r="Z287" s="1" t="s">
        <v>53</v>
      </c>
      <c r="AA287" s="12">
        <v>42717</v>
      </c>
      <c r="AB287" s="1" t="s">
        <v>334</v>
      </c>
      <c r="AC287" s="1" t="s">
        <v>892</v>
      </c>
      <c r="AD287" s="1" t="s">
        <v>1781</v>
      </c>
      <c r="AE287" s="1" t="s">
        <v>69</v>
      </c>
      <c r="AG287" s="1">
        <v>7943110</v>
      </c>
    </row>
    <row r="288" spans="1:33" s="1" customFormat="1" x14ac:dyDescent="0.25">
      <c r="C288" s="1" t="s">
        <v>1782</v>
      </c>
      <c r="D288" s="1" t="s">
        <v>1783</v>
      </c>
      <c r="E288" s="1" t="s">
        <v>1738</v>
      </c>
      <c r="F288" s="13" t="s">
        <v>6952</v>
      </c>
      <c r="G288" s="1" t="s">
        <v>888</v>
      </c>
      <c r="H288" s="1" t="s">
        <v>61</v>
      </c>
      <c r="I288" s="1">
        <v>768</v>
      </c>
      <c r="J288" s="1" t="s">
        <v>46</v>
      </c>
      <c r="M288" s="1" t="s">
        <v>62</v>
      </c>
      <c r="N288" s="1" t="s">
        <v>139</v>
      </c>
      <c r="O288" s="9">
        <v>4</v>
      </c>
      <c r="P288" s="1">
        <f>ROUNDUP(1270*(1-$F$3),2)</f>
        <v>1270</v>
      </c>
      <c r="Q288" s="1" t="s">
        <v>49</v>
      </c>
      <c r="R288" s="1" t="s">
        <v>1784</v>
      </c>
      <c r="S288" s="1" t="s">
        <v>1785</v>
      </c>
      <c r="T288" s="9">
        <v>10</v>
      </c>
      <c r="U288" s="1">
        <f>ROUNDUP(1154.55*(1-$F$3),2)</f>
        <v>1154.55</v>
      </c>
      <c r="V288" s="1">
        <v>679</v>
      </c>
      <c r="Y288" s="1" t="s">
        <v>1741</v>
      </c>
      <c r="Z288" s="1" t="s">
        <v>53</v>
      </c>
      <c r="AA288" s="12">
        <v>44708</v>
      </c>
      <c r="AB288" s="1" t="s">
        <v>334</v>
      </c>
      <c r="AC288" s="1" t="s">
        <v>892</v>
      </c>
      <c r="AD288" s="1" t="s">
        <v>893</v>
      </c>
      <c r="AE288" s="1" t="s">
        <v>69</v>
      </c>
      <c r="AG288" s="1">
        <v>10409480</v>
      </c>
    </row>
    <row r="289" spans="3:33" s="1" customFormat="1" x14ac:dyDescent="0.25">
      <c r="C289" s="1" t="s">
        <v>1786</v>
      </c>
      <c r="D289" s="1" t="s">
        <v>1783</v>
      </c>
      <c r="E289" s="1" t="s">
        <v>1746</v>
      </c>
      <c r="F289" s="13" t="s">
        <v>6952</v>
      </c>
      <c r="G289" s="1" t="s">
        <v>1747</v>
      </c>
      <c r="H289" s="1" t="s">
        <v>61</v>
      </c>
      <c r="I289" s="1">
        <v>464</v>
      </c>
      <c r="J289" s="1" t="s">
        <v>46</v>
      </c>
      <c r="M289" s="1" t="s">
        <v>47</v>
      </c>
      <c r="N289" s="1" t="s">
        <v>139</v>
      </c>
      <c r="O289" s="9">
        <v>5</v>
      </c>
      <c r="P289" s="1">
        <f>ROUNDUP(1160*(1-$F$3),2)</f>
        <v>1160</v>
      </c>
      <c r="Q289" s="1" t="s">
        <v>49</v>
      </c>
      <c r="R289" s="1" t="s">
        <v>1787</v>
      </c>
      <c r="S289" s="1" t="s">
        <v>1788</v>
      </c>
      <c r="T289" s="9">
        <v>10</v>
      </c>
      <c r="U289" s="1">
        <f>ROUNDUP(1054.55*(1-$F$3),2)</f>
        <v>1054.55</v>
      </c>
      <c r="V289" s="1">
        <v>455</v>
      </c>
      <c r="Y289" s="1" t="s">
        <v>1750</v>
      </c>
      <c r="Z289" s="1" t="s">
        <v>53</v>
      </c>
      <c r="AA289" s="12">
        <v>44785</v>
      </c>
      <c r="AB289" s="1" t="s">
        <v>86</v>
      </c>
      <c r="AC289" s="1" t="s">
        <v>87</v>
      </c>
      <c r="AD289" s="1" t="s">
        <v>1751</v>
      </c>
      <c r="AE289" s="1" t="s">
        <v>69</v>
      </c>
      <c r="AG289" s="1">
        <v>10499490</v>
      </c>
    </row>
    <row r="290" spans="3:33" s="1" customFormat="1" x14ac:dyDescent="0.25">
      <c r="C290" s="1" t="s">
        <v>1789</v>
      </c>
      <c r="D290" s="1" t="s">
        <v>1783</v>
      </c>
      <c r="E290" s="1" t="s">
        <v>1790</v>
      </c>
      <c r="F290" s="13" t="s">
        <v>6952</v>
      </c>
      <c r="G290" s="1" t="s">
        <v>1791</v>
      </c>
      <c r="H290" s="1" t="s">
        <v>61</v>
      </c>
      <c r="I290" s="1">
        <v>720</v>
      </c>
      <c r="J290" s="1" t="s">
        <v>46</v>
      </c>
      <c r="M290" s="1" t="s">
        <v>47</v>
      </c>
      <c r="N290" s="1" t="s">
        <v>139</v>
      </c>
      <c r="O290" s="9">
        <v>4</v>
      </c>
      <c r="P290" s="1">
        <f>ROUNDUP(980*(1-$F$3),2)</f>
        <v>980</v>
      </c>
      <c r="Q290" s="1" t="s">
        <v>49</v>
      </c>
      <c r="R290" s="1" t="s">
        <v>1792</v>
      </c>
      <c r="S290" s="1" t="s">
        <v>1793</v>
      </c>
      <c r="T290" s="9">
        <v>10</v>
      </c>
      <c r="U290" s="1">
        <f>ROUNDUP(890.91*(1-$F$3),2)</f>
        <v>890.91</v>
      </c>
      <c r="V290" s="1">
        <v>505</v>
      </c>
      <c r="Y290" s="1" t="s">
        <v>1794</v>
      </c>
      <c r="Z290" s="1" t="s">
        <v>53</v>
      </c>
      <c r="AA290" s="12">
        <v>44785</v>
      </c>
      <c r="AB290" s="1" t="s">
        <v>95</v>
      </c>
      <c r="AC290" s="1" t="s">
        <v>112</v>
      </c>
      <c r="AD290" s="1" t="s">
        <v>1795</v>
      </c>
      <c r="AE290" s="1" t="s">
        <v>878</v>
      </c>
      <c r="AG290" s="1">
        <v>10488800</v>
      </c>
    </row>
    <row r="291" spans="3:33" s="1" customFormat="1" x14ac:dyDescent="0.25">
      <c r="C291" s="1" t="s">
        <v>1796</v>
      </c>
      <c r="D291" s="1" t="s">
        <v>1783</v>
      </c>
      <c r="E291" s="1" t="s">
        <v>1797</v>
      </c>
      <c r="F291" s="13" t="s">
        <v>6952</v>
      </c>
      <c r="G291" s="1" t="s">
        <v>1723</v>
      </c>
      <c r="H291" s="1" t="s">
        <v>61</v>
      </c>
      <c r="I291" s="1">
        <v>624</v>
      </c>
      <c r="J291" s="1" t="s">
        <v>46</v>
      </c>
      <c r="M291" s="1" t="s">
        <v>62</v>
      </c>
      <c r="N291" s="1" t="s">
        <v>139</v>
      </c>
      <c r="O291" s="9">
        <v>6</v>
      </c>
      <c r="P291" s="1">
        <f>ROUNDUP(940*(1-$F$3),2)</f>
        <v>940</v>
      </c>
      <c r="Q291" s="1" t="s">
        <v>49</v>
      </c>
      <c r="R291" s="1" t="s">
        <v>1798</v>
      </c>
      <c r="S291" s="1" t="s">
        <v>1799</v>
      </c>
      <c r="T291" s="9">
        <v>10</v>
      </c>
      <c r="U291" s="1">
        <f>ROUNDUP(854.55*(1-$F$3),2)</f>
        <v>854.55</v>
      </c>
      <c r="V291" s="1">
        <v>514</v>
      </c>
      <c r="Y291" s="1" t="s">
        <v>1800</v>
      </c>
      <c r="Z291" s="1" t="s">
        <v>128</v>
      </c>
      <c r="AA291" s="12">
        <v>44708</v>
      </c>
      <c r="AB291" s="1" t="s">
        <v>334</v>
      </c>
      <c r="AC291" s="1" t="s">
        <v>892</v>
      </c>
      <c r="AD291" s="1" t="s">
        <v>893</v>
      </c>
      <c r="AE291" s="1" t="s">
        <v>878</v>
      </c>
      <c r="AG291" s="1">
        <v>10409470</v>
      </c>
    </row>
    <row r="292" spans="3:33" s="1" customFormat="1" x14ac:dyDescent="0.25">
      <c r="C292" s="1" t="s">
        <v>1801</v>
      </c>
      <c r="D292" s="1" t="s">
        <v>1802</v>
      </c>
      <c r="E292" s="1" t="s">
        <v>1803</v>
      </c>
      <c r="F292" s="13" t="s">
        <v>6952</v>
      </c>
      <c r="G292" s="1" t="s">
        <v>1804</v>
      </c>
      <c r="H292" s="1" t="s">
        <v>61</v>
      </c>
      <c r="I292" s="1">
        <v>224</v>
      </c>
      <c r="J292" s="1" t="s">
        <v>46</v>
      </c>
      <c r="M292" s="1" t="s">
        <v>176</v>
      </c>
      <c r="N292" s="1" t="s">
        <v>48</v>
      </c>
      <c r="O292" s="9">
        <v>12</v>
      </c>
      <c r="P292" s="1">
        <f>ROUNDUP(840*(1-$F$3),2)</f>
        <v>840</v>
      </c>
      <c r="Q292" s="1" t="s">
        <v>49</v>
      </c>
      <c r="R292" s="1" t="s">
        <v>1805</v>
      </c>
      <c r="S292" s="1" t="s">
        <v>1806</v>
      </c>
      <c r="T292" s="9">
        <v>22</v>
      </c>
      <c r="U292" s="1">
        <f>ROUNDUP(688.52*(1-$F$3),2)</f>
        <v>688.52</v>
      </c>
      <c r="V292" s="1">
        <v>336</v>
      </c>
      <c r="Y292" s="1" t="s">
        <v>1807</v>
      </c>
      <c r="Z292" s="1" t="s">
        <v>76</v>
      </c>
      <c r="AA292" s="12">
        <v>45242</v>
      </c>
      <c r="AB292" s="1" t="s">
        <v>66</v>
      </c>
      <c r="AC292" s="1" t="s">
        <v>120</v>
      </c>
      <c r="AD292" s="1" t="s">
        <v>343</v>
      </c>
      <c r="AE292" s="1" t="s">
        <v>69</v>
      </c>
      <c r="AG292" s="1">
        <v>11118070</v>
      </c>
    </row>
    <row r="293" spans="3:33" s="1" customFormat="1" x14ac:dyDescent="0.25">
      <c r="C293" s="1" t="s">
        <v>1808</v>
      </c>
      <c r="D293" s="1" t="s">
        <v>1809</v>
      </c>
      <c r="E293" s="1" t="s">
        <v>1810</v>
      </c>
      <c r="F293" s="13" t="s">
        <v>6952</v>
      </c>
      <c r="H293" s="1" t="s">
        <v>61</v>
      </c>
      <c r="I293" s="1">
        <v>22</v>
      </c>
      <c r="J293" s="1" t="s">
        <v>46</v>
      </c>
      <c r="M293" s="1" t="s">
        <v>1061</v>
      </c>
      <c r="N293" s="1" t="s">
        <v>139</v>
      </c>
      <c r="O293" s="9">
        <v>65</v>
      </c>
      <c r="P293" s="1">
        <f>ROUNDUP(670*(1-$F$3),2)</f>
        <v>670</v>
      </c>
      <c r="Q293" s="1" t="s">
        <v>49</v>
      </c>
      <c r="R293" s="1" t="s">
        <v>1811</v>
      </c>
      <c r="S293" s="1" t="s">
        <v>1812</v>
      </c>
      <c r="T293" s="9">
        <v>10</v>
      </c>
      <c r="U293" s="1">
        <f>ROUNDUP(609.09*(1-$F$3),2)</f>
        <v>609.09</v>
      </c>
      <c r="V293" s="1">
        <v>243</v>
      </c>
      <c r="Y293" s="1" t="s">
        <v>1813</v>
      </c>
      <c r="Z293" s="1" t="s">
        <v>76</v>
      </c>
      <c r="AA293" s="12">
        <v>43682</v>
      </c>
      <c r="AB293" s="1" t="s">
        <v>66</v>
      </c>
      <c r="AC293" s="1" t="s">
        <v>77</v>
      </c>
      <c r="AD293" s="1" t="s">
        <v>78</v>
      </c>
      <c r="AE293" s="1" t="s">
        <v>69</v>
      </c>
      <c r="AG293" s="1">
        <v>9112590</v>
      </c>
    </row>
    <row r="294" spans="3:33" s="1" customFormat="1" x14ac:dyDescent="0.25">
      <c r="C294" s="1" t="s">
        <v>1814</v>
      </c>
      <c r="D294" s="1" t="s">
        <v>1815</v>
      </c>
      <c r="E294" s="1" t="s">
        <v>1816</v>
      </c>
      <c r="F294" s="13" t="s">
        <v>6952</v>
      </c>
      <c r="G294" s="1" t="s">
        <v>1817</v>
      </c>
      <c r="H294" s="1" t="s">
        <v>160</v>
      </c>
      <c r="I294" s="1">
        <v>368</v>
      </c>
      <c r="J294" s="1" t="s">
        <v>46</v>
      </c>
      <c r="M294" s="1" t="s">
        <v>756</v>
      </c>
      <c r="N294" s="1" t="s">
        <v>48</v>
      </c>
      <c r="O294" s="9">
        <v>8</v>
      </c>
      <c r="P294" s="1">
        <f>ROUNDUP(1070*(1-$F$3),2)</f>
        <v>1070</v>
      </c>
      <c r="Q294" s="1" t="s">
        <v>49</v>
      </c>
      <c r="R294" s="1" t="s">
        <v>1818</v>
      </c>
      <c r="S294" s="1" t="s">
        <v>1819</v>
      </c>
      <c r="T294" s="9">
        <v>10</v>
      </c>
      <c r="U294" s="1">
        <f>ROUNDUP(972.73*(1-$F$3),2)</f>
        <v>972.73</v>
      </c>
      <c r="V294" s="1">
        <v>411</v>
      </c>
      <c r="Y294" s="1" t="s">
        <v>1820</v>
      </c>
      <c r="Z294" s="1" t="s">
        <v>53</v>
      </c>
      <c r="AA294" s="12">
        <v>44308</v>
      </c>
      <c r="AB294" s="1" t="s">
        <v>95</v>
      </c>
      <c r="AC294" s="1" t="s">
        <v>112</v>
      </c>
      <c r="AD294" s="1" t="s">
        <v>839</v>
      </c>
      <c r="AE294" s="1" t="s">
        <v>69</v>
      </c>
      <c r="AG294" s="1">
        <v>9675470</v>
      </c>
    </row>
    <row r="295" spans="3:33" s="1" customFormat="1" x14ac:dyDescent="0.25">
      <c r="C295" s="1" t="s">
        <v>1821</v>
      </c>
      <c r="D295" s="1" t="s">
        <v>1815</v>
      </c>
      <c r="E295" s="1" t="s">
        <v>1822</v>
      </c>
      <c r="F295" s="13" t="s">
        <v>6952</v>
      </c>
      <c r="G295" s="1" t="s">
        <v>1823</v>
      </c>
      <c r="H295" s="1" t="s">
        <v>160</v>
      </c>
      <c r="I295" s="1">
        <v>240</v>
      </c>
      <c r="J295" s="1" t="s">
        <v>46</v>
      </c>
      <c r="M295" s="1" t="s">
        <v>756</v>
      </c>
      <c r="N295" s="1" t="s">
        <v>48</v>
      </c>
      <c r="O295" s="9">
        <v>12</v>
      </c>
      <c r="P295" s="1">
        <f>ROUNDUP(1100*(1-$F$3),2)</f>
        <v>1100</v>
      </c>
      <c r="Q295" s="1" t="s">
        <v>49</v>
      </c>
      <c r="R295" s="1" t="s">
        <v>1824</v>
      </c>
      <c r="S295" s="1" t="s">
        <v>1825</v>
      </c>
      <c r="T295" s="9">
        <v>10</v>
      </c>
      <c r="U295" s="1">
        <f>ROUNDUP(1000*(1-$F$3),2)</f>
        <v>1000</v>
      </c>
      <c r="V295" s="1">
        <v>299</v>
      </c>
      <c r="Y295" s="1" t="s">
        <v>1826</v>
      </c>
      <c r="Z295" s="1" t="s">
        <v>53</v>
      </c>
      <c r="AA295" s="12">
        <v>44307</v>
      </c>
      <c r="AB295" s="1" t="s">
        <v>66</v>
      </c>
      <c r="AC295" s="1" t="s">
        <v>120</v>
      </c>
      <c r="AD295" s="1" t="s">
        <v>121</v>
      </c>
      <c r="AE295" s="1" t="s">
        <v>69</v>
      </c>
      <c r="AG295" s="1">
        <v>9703310</v>
      </c>
    </row>
    <row r="296" spans="3:33" s="1" customFormat="1" x14ac:dyDescent="0.25">
      <c r="C296" s="1" t="s">
        <v>1827</v>
      </c>
      <c r="D296" s="1" t="s">
        <v>1828</v>
      </c>
      <c r="E296" s="1" t="s">
        <v>1829</v>
      </c>
      <c r="F296" s="13" t="s">
        <v>6952</v>
      </c>
      <c r="G296" s="1" t="s">
        <v>1830</v>
      </c>
      <c r="H296" s="1" t="s">
        <v>61</v>
      </c>
      <c r="I296" s="1">
        <v>416</v>
      </c>
      <c r="J296" s="1" t="s">
        <v>46</v>
      </c>
      <c r="M296" s="1" t="s">
        <v>47</v>
      </c>
      <c r="N296" s="1" t="s">
        <v>48</v>
      </c>
      <c r="O296" s="9">
        <v>6</v>
      </c>
      <c r="P296" s="1">
        <f>ROUNDUP(1350*(1-$F$3),2)</f>
        <v>1350</v>
      </c>
      <c r="Q296" s="1" t="s">
        <v>49</v>
      </c>
      <c r="R296" s="1" t="s">
        <v>1831</v>
      </c>
      <c r="S296" s="1" t="s">
        <v>1832</v>
      </c>
      <c r="T296" s="9">
        <v>22</v>
      </c>
      <c r="U296" s="1">
        <f>ROUNDUP(1106.56*(1-$F$3),2)</f>
        <v>1106.56</v>
      </c>
      <c r="V296" s="1">
        <v>505</v>
      </c>
      <c r="Y296" s="1" t="s">
        <v>1833</v>
      </c>
      <c r="Z296" s="1" t="s">
        <v>76</v>
      </c>
      <c r="AA296" s="12">
        <v>45685</v>
      </c>
      <c r="AB296" s="1" t="s">
        <v>66</v>
      </c>
      <c r="AC296" s="1" t="s">
        <v>120</v>
      </c>
      <c r="AD296" s="1" t="s">
        <v>121</v>
      </c>
      <c r="AE296" s="1" t="s">
        <v>69</v>
      </c>
      <c r="AG296" s="1">
        <v>11577900</v>
      </c>
    </row>
    <row r="297" spans="3:33" s="1" customFormat="1" x14ac:dyDescent="0.25">
      <c r="C297" s="1" t="s">
        <v>1834</v>
      </c>
      <c r="D297" s="1" t="s">
        <v>1835</v>
      </c>
      <c r="E297" s="1" t="s">
        <v>1836</v>
      </c>
      <c r="F297" s="13" t="s">
        <v>6952</v>
      </c>
      <c r="G297" s="1" t="s">
        <v>1837</v>
      </c>
      <c r="H297" s="1" t="s">
        <v>61</v>
      </c>
      <c r="I297" s="1">
        <v>352</v>
      </c>
      <c r="J297" s="1" t="s">
        <v>46</v>
      </c>
      <c r="M297" s="1" t="s">
        <v>756</v>
      </c>
      <c r="N297" s="1" t="s">
        <v>139</v>
      </c>
      <c r="O297" s="9">
        <v>10</v>
      </c>
      <c r="P297" s="1">
        <f>ROUNDUP(1010*(1-$F$3),2)</f>
        <v>1010</v>
      </c>
      <c r="Q297" s="1" t="s">
        <v>49</v>
      </c>
      <c r="R297" s="1" t="s">
        <v>1838</v>
      </c>
      <c r="S297" s="1" t="s">
        <v>1839</v>
      </c>
      <c r="T297" s="9">
        <v>10</v>
      </c>
      <c r="U297" s="1">
        <f>ROUNDUP(918.18*(1-$F$3),2)</f>
        <v>918.18</v>
      </c>
      <c r="V297" s="1">
        <v>366</v>
      </c>
      <c r="Y297" s="1" t="s">
        <v>1840</v>
      </c>
      <c r="Z297" s="1" t="s">
        <v>53</v>
      </c>
      <c r="AA297" s="12">
        <v>44523</v>
      </c>
      <c r="AB297" s="1" t="s">
        <v>728</v>
      </c>
      <c r="AC297" s="1" t="s">
        <v>1841</v>
      </c>
      <c r="AD297" s="1" t="s">
        <v>1842</v>
      </c>
      <c r="AE297" s="1" t="s">
        <v>69</v>
      </c>
      <c r="AG297" s="1">
        <v>9879830</v>
      </c>
    </row>
    <row r="298" spans="3:33" s="1" customFormat="1" x14ac:dyDescent="0.25">
      <c r="C298" s="1" t="s">
        <v>1843</v>
      </c>
      <c r="D298" s="1" t="s">
        <v>1844</v>
      </c>
      <c r="E298" s="1" t="s">
        <v>1845</v>
      </c>
      <c r="F298" s="13" t="s">
        <v>6952</v>
      </c>
      <c r="G298" s="1" t="s">
        <v>1846</v>
      </c>
      <c r="H298" s="1" t="s">
        <v>61</v>
      </c>
      <c r="I298" s="1">
        <v>256</v>
      </c>
      <c r="J298" s="1" t="s">
        <v>46</v>
      </c>
      <c r="M298" s="1" t="s">
        <v>169</v>
      </c>
      <c r="N298" s="1" t="s">
        <v>48</v>
      </c>
      <c r="O298" s="9">
        <v>12</v>
      </c>
      <c r="P298" s="1">
        <f>ROUNDUP(1100*(1-$F$3),2)</f>
        <v>1100</v>
      </c>
      <c r="Q298" s="1" t="s">
        <v>49</v>
      </c>
      <c r="R298" s="1" t="s">
        <v>1847</v>
      </c>
      <c r="S298" s="1" t="s">
        <v>1848</v>
      </c>
      <c r="T298" s="9">
        <v>10</v>
      </c>
      <c r="U298" s="1">
        <f>ROUNDUP(1000*(1-$F$3),2)</f>
        <v>1000</v>
      </c>
      <c r="V298" s="1">
        <v>351</v>
      </c>
      <c r="Y298" s="1" t="s">
        <v>1849</v>
      </c>
      <c r="Z298" s="1" t="s">
        <v>76</v>
      </c>
      <c r="AA298" s="12">
        <v>44685</v>
      </c>
      <c r="AB298" s="1" t="s">
        <v>66</v>
      </c>
      <c r="AC298" s="1" t="s">
        <v>143</v>
      </c>
      <c r="AD298" s="1" t="s">
        <v>144</v>
      </c>
      <c r="AE298" s="1" t="s">
        <v>69</v>
      </c>
      <c r="AG298" s="1">
        <v>10320100</v>
      </c>
    </row>
    <row r="299" spans="3:33" s="1" customFormat="1" x14ac:dyDescent="0.25">
      <c r="C299" s="1" t="s">
        <v>1850</v>
      </c>
      <c r="D299" s="1" t="s">
        <v>1844</v>
      </c>
      <c r="E299" s="1" t="s">
        <v>1851</v>
      </c>
      <c r="F299" s="13" t="s">
        <v>6952</v>
      </c>
      <c r="G299" s="1" t="s">
        <v>1852</v>
      </c>
      <c r="H299" s="1" t="s">
        <v>61</v>
      </c>
      <c r="I299" s="1">
        <v>384</v>
      </c>
      <c r="J299" s="1" t="s">
        <v>46</v>
      </c>
      <c r="M299" s="1" t="s">
        <v>169</v>
      </c>
      <c r="N299" s="1" t="s">
        <v>48</v>
      </c>
      <c r="O299" s="9">
        <v>8</v>
      </c>
      <c r="P299" s="1">
        <f>ROUNDUP(1260*(1-$F$3),2)</f>
        <v>1260</v>
      </c>
      <c r="Q299" s="1" t="s">
        <v>49</v>
      </c>
      <c r="R299" s="1" t="s">
        <v>1853</v>
      </c>
      <c r="S299" s="1" t="s">
        <v>1854</v>
      </c>
      <c r="T299" s="9">
        <v>22</v>
      </c>
      <c r="U299" s="1">
        <f>ROUNDUP(1032.79*(1-$F$3),2)</f>
        <v>1032.79</v>
      </c>
      <c r="V299" s="1">
        <v>479</v>
      </c>
      <c r="Y299" s="1" t="s">
        <v>1855</v>
      </c>
      <c r="Z299" s="1" t="s">
        <v>76</v>
      </c>
      <c r="AA299" s="12">
        <v>44844</v>
      </c>
      <c r="AB299" s="1" t="s">
        <v>66</v>
      </c>
      <c r="AC299" s="1" t="s">
        <v>143</v>
      </c>
      <c r="AD299" s="1" t="s">
        <v>847</v>
      </c>
      <c r="AE299" s="1" t="s">
        <v>69</v>
      </c>
      <c r="AG299" s="1">
        <v>10569040</v>
      </c>
    </row>
    <row r="300" spans="3:33" s="1" customFormat="1" x14ac:dyDescent="0.25">
      <c r="C300" s="1" t="s">
        <v>1856</v>
      </c>
      <c r="D300" s="1" t="s">
        <v>1857</v>
      </c>
      <c r="E300" s="1" t="s">
        <v>1858</v>
      </c>
      <c r="F300" s="13" t="s">
        <v>6952</v>
      </c>
      <c r="G300" s="1" t="s">
        <v>1859</v>
      </c>
      <c r="H300" s="1" t="s">
        <v>61</v>
      </c>
      <c r="I300" s="1">
        <v>608</v>
      </c>
      <c r="J300" s="1" t="s">
        <v>46</v>
      </c>
      <c r="M300" s="1" t="s">
        <v>161</v>
      </c>
      <c r="N300" s="1" t="s">
        <v>48</v>
      </c>
      <c r="O300" s="9">
        <v>6</v>
      </c>
      <c r="P300" s="1">
        <f>ROUNDUP(1980*(1-$F$3),2)</f>
        <v>1980</v>
      </c>
      <c r="Q300" s="1" t="s">
        <v>49</v>
      </c>
      <c r="R300" s="1" t="s">
        <v>1860</v>
      </c>
      <c r="S300" s="1" t="s">
        <v>1861</v>
      </c>
      <c r="T300" s="9">
        <v>22</v>
      </c>
      <c r="U300" s="1">
        <f>ROUNDUP(1622.95*(1-$F$3),2)</f>
        <v>1622.95</v>
      </c>
      <c r="V300" s="1">
        <v>721</v>
      </c>
      <c r="Y300" s="1" t="s">
        <v>1862</v>
      </c>
      <c r="Z300" s="1" t="s">
        <v>76</v>
      </c>
      <c r="AA300" s="12">
        <v>44824</v>
      </c>
      <c r="AB300" s="1" t="s">
        <v>234</v>
      </c>
      <c r="AC300" s="1" t="s">
        <v>235</v>
      </c>
      <c r="AD300" s="1" t="s">
        <v>236</v>
      </c>
      <c r="AE300" s="1" t="s">
        <v>69</v>
      </c>
      <c r="AG300" s="1">
        <v>10613790</v>
      </c>
    </row>
    <row r="301" spans="3:33" s="1" customFormat="1" x14ac:dyDescent="0.25">
      <c r="C301" s="1" t="s">
        <v>1863</v>
      </c>
      <c r="D301" s="1" t="s">
        <v>1864</v>
      </c>
      <c r="E301" s="1" t="s">
        <v>1865</v>
      </c>
      <c r="F301" s="13" t="s">
        <v>6952</v>
      </c>
      <c r="G301" s="1" t="s">
        <v>405</v>
      </c>
      <c r="H301" s="1" t="s">
        <v>61</v>
      </c>
      <c r="I301" s="1">
        <v>238</v>
      </c>
      <c r="J301" s="1" t="s">
        <v>46</v>
      </c>
      <c r="M301" s="1" t="s">
        <v>756</v>
      </c>
      <c r="N301" s="1" t="s">
        <v>139</v>
      </c>
      <c r="O301" s="9">
        <v>24</v>
      </c>
      <c r="P301" s="1">
        <f>ROUNDUP(1020*(1-$F$3),2)</f>
        <v>1020</v>
      </c>
      <c r="Q301" s="1" t="s">
        <v>49</v>
      </c>
      <c r="R301" s="1" t="s">
        <v>1866</v>
      </c>
      <c r="S301" s="1" t="s">
        <v>1867</v>
      </c>
      <c r="T301" s="9">
        <v>10</v>
      </c>
      <c r="U301" s="1">
        <f>ROUNDUP(927.27*(1-$F$3),2)</f>
        <v>927.27</v>
      </c>
      <c r="V301" s="1">
        <v>262</v>
      </c>
      <c r="Y301" s="1" t="s">
        <v>1868</v>
      </c>
      <c r="Z301" s="1" t="s">
        <v>76</v>
      </c>
      <c r="AA301" s="12">
        <v>44105</v>
      </c>
      <c r="AB301" s="1" t="s">
        <v>66</v>
      </c>
      <c r="AC301" s="1" t="s">
        <v>77</v>
      </c>
      <c r="AD301" s="1" t="s">
        <v>78</v>
      </c>
      <c r="AE301" s="1" t="s">
        <v>69</v>
      </c>
      <c r="AG301" s="1">
        <v>9527910</v>
      </c>
    </row>
    <row r="302" spans="3:33" s="1" customFormat="1" x14ac:dyDescent="0.25">
      <c r="C302" s="1" t="s">
        <v>1869</v>
      </c>
      <c r="D302" s="1" t="s">
        <v>1864</v>
      </c>
      <c r="E302" s="1" t="s">
        <v>1870</v>
      </c>
      <c r="F302" s="13" t="s">
        <v>6952</v>
      </c>
      <c r="G302" s="1" t="s">
        <v>405</v>
      </c>
      <c r="H302" s="1" t="s">
        <v>61</v>
      </c>
      <c r="I302" s="1">
        <v>252</v>
      </c>
      <c r="J302" s="1" t="s">
        <v>46</v>
      </c>
      <c r="M302" s="1" t="s">
        <v>835</v>
      </c>
      <c r="N302" s="1" t="s">
        <v>139</v>
      </c>
      <c r="O302" s="9">
        <v>16</v>
      </c>
      <c r="P302" s="1">
        <f>ROUNDUP(810*(1-$F$3),2)</f>
        <v>810</v>
      </c>
      <c r="Q302" s="1" t="s">
        <v>49</v>
      </c>
      <c r="R302" s="1" t="s">
        <v>1871</v>
      </c>
      <c r="S302" s="1" t="s">
        <v>1872</v>
      </c>
      <c r="T302" s="9">
        <v>10</v>
      </c>
      <c r="U302" s="1">
        <f>ROUNDUP(736.36*(1-$F$3),2)</f>
        <v>736.36</v>
      </c>
      <c r="V302" s="1">
        <v>278</v>
      </c>
      <c r="Y302" s="1" t="s">
        <v>1873</v>
      </c>
      <c r="Z302" s="1" t="s">
        <v>53</v>
      </c>
      <c r="AA302" s="12">
        <v>43845</v>
      </c>
      <c r="AB302" s="1" t="s">
        <v>66</v>
      </c>
      <c r="AC302" s="1" t="s">
        <v>77</v>
      </c>
      <c r="AD302" s="1" t="s">
        <v>78</v>
      </c>
      <c r="AE302" s="1" t="s">
        <v>69</v>
      </c>
      <c r="AG302" s="1">
        <v>9271660</v>
      </c>
    </row>
    <row r="303" spans="3:33" s="1" customFormat="1" x14ac:dyDescent="0.25">
      <c r="C303" s="1" t="s">
        <v>1874</v>
      </c>
      <c r="D303" s="1" t="s">
        <v>1864</v>
      </c>
      <c r="E303" s="1" t="s">
        <v>1875</v>
      </c>
      <c r="F303" s="13" t="s">
        <v>6952</v>
      </c>
      <c r="G303" s="1" t="s">
        <v>405</v>
      </c>
      <c r="H303" s="1" t="s">
        <v>61</v>
      </c>
      <c r="I303" s="1">
        <v>432</v>
      </c>
      <c r="J303" s="1" t="s">
        <v>46</v>
      </c>
      <c r="M303" s="1" t="s">
        <v>62</v>
      </c>
      <c r="N303" s="1" t="s">
        <v>48</v>
      </c>
      <c r="O303" s="9">
        <v>7</v>
      </c>
      <c r="P303" s="1">
        <f>ROUNDUP(1500*(1-$F$3),2)</f>
        <v>1500</v>
      </c>
      <c r="Q303" s="1" t="s">
        <v>49</v>
      </c>
      <c r="R303" s="1" t="s">
        <v>1876</v>
      </c>
      <c r="S303" s="1" t="s">
        <v>1877</v>
      </c>
      <c r="T303" s="9">
        <v>22</v>
      </c>
      <c r="U303" s="1">
        <f>ROUNDUP(1229.51*(1-$F$3),2)</f>
        <v>1229.51</v>
      </c>
      <c r="V303" s="1">
        <v>607</v>
      </c>
      <c r="Y303" s="1" t="s">
        <v>1878</v>
      </c>
      <c r="Z303" s="1" t="s">
        <v>76</v>
      </c>
      <c r="AA303" s="12">
        <v>45967</v>
      </c>
      <c r="AB303" s="1" t="s">
        <v>66</v>
      </c>
      <c r="AC303" s="1" t="s">
        <v>77</v>
      </c>
      <c r="AD303" s="1" t="s">
        <v>78</v>
      </c>
      <c r="AE303" s="1" t="s">
        <v>69</v>
      </c>
      <c r="AG303" s="1">
        <v>11934370</v>
      </c>
    </row>
    <row r="304" spans="3:33" s="1" customFormat="1" x14ac:dyDescent="0.25">
      <c r="C304" s="1" t="s">
        <v>1879</v>
      </c>
      <c r="D304" s="1" t="s">
        <v>1864</v>
      </c>
      <c r="E304" s="1" t="s">
        <v>1880</v>
      </c>
      <c r="F304" s="13" t="s">
        <v>6952</v>
      </c>
      <c r="G304" s="1" t="s">
        <v>405</v>
      </c>
      <c r="H304" s="1" t="s">
        <v>61</v>
      </c>
      <c r="I304" s="1">
        <v>492</v>
      </c>
      <c r="J304" s="1" t="s">
        <v>46</v>
      </c>
      <c r="M304" s="1" t="s">
        <v>169</v>
      </c>
      <c r="N304" s="1" t="s">
        <v>139</v>
      </c>
      <c r="O304" s="9">
        <v>12</v>
      </c>
      <c r="P304" s="1">
        <f>ROUNDUP(1300*(1-$F$3),2)</f>
        <v>1300</v>
      </c>
      <c r="Q304" s="1" t="s">
        <v>49</v>
      </c>
      <c r="R304" s="1" t="s">
        <v>1881</v>
      </c>
      <c r="S304" s="1" t="s">
        <v>1882</v>
      </c>
      <c r="T304" s="9">
        <v>10</v>
      </c>
      <c r="U304" s="1">
        <f>ROUNDUP(1181.82*(1-$F$3),2)</f>
        <v>1181.82</v>
      </c>
      <c r="V304" s="1">
        <v>512</v>
      </c>
      <c r="Y304" s="1" t="s">
        <v>1883</v>
      </c>
      <c r="Z304" s="1" t="s">
        <v>76</v>
      </c>
      <c r="AA304" s="12">
        <v>44672</v>
      </c>
      <c r="AB304" s="1" t="s">
        <v>66</v>
      </c>
      <c r="AC304" s="1" t="s">
        <v>491</v>
      </c>
      <c r="AD304" s="1" t="s">
        <v>1509</v>
      </c>
      <c r="AE304" s="1" t="s">
        <v>69</v>
      </c>
      <c r="AG304" s="1">
        <v>10290610</v>
      </c>
    </row>
    <row r="305" spans="1:33" s="1" customFormat="1" x14ac:dyDescent="0.25">
      <c r="C305" s="1" t="s">
        <v>1884</v>
      </c>
      <c r="D305" s="1" t="s">
        <v>1864</v>
      </c>
      <c r="E305" s="1" t="s">
        <v>1885</v>
      </c>
      <c r="F305" s="13" t="s">
        <v>6952</v>
      </c>
      <c r="G305" s="1" t="s">
        <v>405</v>
      </c>
      <c r="H305" s="1" t="s">
        <v>61</v>
      </c>
      <c r="I305" s="1">
        <v>166</v>
      </c>
      <c r="J305" s="1" t="s">
        <v>46</v>
      </c>
      <c r="M305" s="1" t="s">
        <v>835</v>
      </c>
      <c r="N305" s="1" t="s">
        <v>139</v>
      </c>
      <c r="O305" s="9">
        <v>24</v>
      </c>
      <c r="P305" s="1">
        <f>ROUNDUP(880*(1-$F$3),2)</f>
        <v>880</v>
      </c>
      <c r="Q305" s="1" t="s">
        <v>49</v>
      </c>
      <c r="R305" s="1" t="s">
        <v>1886</v>
      </c>
      <c r="S305" s="1" t="s">
        <v>1887</v>
      </c>
      <c r="T305" s="9">
        <v>10</v>
      </c>
      <c r="U305" s="1">
        <f>ROUNDUP(800*(1-$F$3),2)</f>
        <v>800</v>
      </c>
      <c r="V305" s="1">
        <v>192</v>
      </c>
      <c r="Y305" s="1" t="s">
        <v>1888</v>
      </c>
      <c r="Z305" s="1" t="s">
        <v>76</v>
      </c>
      <c r="AA305" s="12">
        <v>43894</v>
      </c>
      <c r="AB305" s="1" t="s">
        <v>66</v>
      </c>
      <c r="AC305" s="1" t="s">
        <v>77</v>
      </c>
      <c r="AD305" s="1" t="s">
        <v>78</v>
      </c>
      <c r="AE305" s="1" t="s">
        <v>69</v>
      </c>
      <c r="AG305" s="1">
        <v>9348600</v>
      </c>
    </row>
    <row r="306" spans="1:33" s="1" customFormat="1" x14ac:dyDescent="0.25">
      <c r="C306" s="1" t="s">
        <v>1889</v>
      </c>
      <c r="D306" s="1" t="s">
        <v>1864</v>
      </c>
      <c r="E306" s="1" t="s">
        <v>1890</v>
      </c>
      <c r="F306" s="13" t="s">
        <v>6952</v>
      </c>
      <c r="G306" s="1" t="s">
        <v>405</v>
      </c>
      <c r="H306" s="1" t="s">
        <v>61</v>
      </c>
      <c r="I306" s="1">
        <v>150</v>
      </c>
      <c r="J306" s="1" t="s">
        <v>46</v>
      </c>
      <c r="M306" s="1" t="s">
        <v>835</v>
      </c>
      <c r="N306" s="1" t="s">
        <v>139</v>
      </c>
      <c r="O306" s="9">
        <v>26</v>
      </c>
      <c r="P306" s="1">
        <f>ROUNDUP(810*(1-$F$3),2)</f>
        <v>810</v>
      </c>
      <c r="Q306" s="1" t="s">
        <v>49</v>
      </c>
      <c r="R306" s="1" t="s">
        <v>1891</v>
      </c>
      <c r="S306" s="1" t="s">
        <v>1892</v>
      </c>
      <c r="T306" s="9">
        <v>10</v>
      </c>
      <c r="U306" s="1">
        <f>ROUNDUP(736.36*(1-$F$3),2)</f>
        <v>736.36</v>
      </c>
      <c r="V306" s="1">
        <v>174</v>
      </c>
      <c r="Y306" s="1" t="s">
        <v>1893</v>
      </c>
      <c r="Z306" s="1" t="s">
        <v>76</v>
      </c>
      <c r="AA306" s="12">
        <v>43910</v>
      </c>
      <c r="AB306" s="1" t="s">
        <v>66</v>
      </c>
      <c r="AC306" s="1" t="s">
        <v>120</v>
      </c>
      <c r="AD306" s="1" t="s">
        <v>343</v>
      </c>
      <c r="AE306" s="1" t="s">
        <v>69</v>
      </c>
      <c r="AG306" s="1">
        <v>9362470</v>
      </c>
    </row>
    <row r="307" spans="1:33" s="1" customFormat="1" x14ac:dyDescent="0.25">
      <c r="C307" s="1" t="s">
        <v>1894</v>
      </c>
      <c r="D307" s="1" t="s">
        <v>1864</v>
      </c>
      <c r="E307" s="1" t="s">
        <v>1895</v>
      </c>
      <c r="F307" s="13" t="s">
        <v>6952</v>
      </c>
      <c r="G307" s="1" t="s">
        <v>405</v>
      </c>
      <c r="H307" s="1" t="s">
        <v>61</v>
      </c>
      <c r="I307" s="1">
        <v>186</v>
      </c>
      <c r="J307" s="1" t="s">
        <v>46</v>
      </c>
      <c r="M307" s="1" t="s">
        <v>835</v>
      </c>
      <c r="N307" s="1" t="s">
        <v>139</v>
      </c>
      <c r="O307" s="9">
        <v>22</v>
      </c>
      <c r="P307" s="1">
        <f>ROUNDUP(960*(1-$F$3),2)</f>
        <v>960</v>
      </c>
      <c r="Q307" s="1" t="s">
        <v>49</v>
      </c>
      <c r="R307" s="1" t="s">
        <v>1896</v>
      </c>
      <c r="S307" s="1" t="s">
        <v>1897</v>
      </c>
      <c r="T307" s="9">
        <v>10</v>
      </c>
      <c r="U307" s="1">
        <f>ROUNDUP(872.73*(1-$F$3),2)</f>
        <v>872.73</v>
      </c>
      <c r="V307" s="1">
        <v>211</v>
      </c>
      <c r="Y307" s="1" t="s">
        <v>1898</v>
      </c>
      <c r="Z307" s="1" t="s">
        <v>76</v>
      </c>
      <c r="AA307" s="12">
        <v>43845</v>
      </c>
      <c r="AB307" s="1" t="s">
        <v>66</v>
      </c>
      <c r="AC307" s="1" t="s">
        <v>77</v>
      </c>
      <c r="AD307" s="1" t="s">
        <v>78</v>
      </c>
      <c r="AE307" s="1" t="s">
        <v>69</v>
      </c>
      <c r="AG307" s="1">
        <v>9284070</v>
      </c>
    </row>
    <row r="308" spans="1:33" s="1" customFormat="1" x14ac:dyDescent="0.25">
      <c r="C308" s="1" t="s">
        <v>1899</v>
      </c>
      <c r="D308" s="1" t="s">
        <v>1900</v>
      </c>
      <c r="E308" s="1" t="s">
        <v>1901</v>
      </c>
      <c r="F308" s="13" t="s">
        <v>6952</v>
      </c>
      <c r="G308" s="1" t="s">
        <v>1902</v>
      </c>
      <c r="H308" s="1" t="s">
        <v>160</v>
      </c>
      <c r="I308" s="1">
        <v>544</v>
      </c>
      <c r="J308" s="1" t="s">
        <v>46</v>
      </c>
      <c r="M308" s="1" t="s">
        <v>835</v>
      </c>
      <c r="N308" s="1" t="s">
        <v>48</v>
      </c>
      <c r="O308" s="9">
        <v>8</v>
      </c>
      <c r="P308" s="1">
        <f>ROUNDUP(1400*(1-$F$3),2)</f>
        <v>1400</v>
      </c>
      <c r="Q308" s="1" t="s">
        <v>49</v>
      </c>
      <c r="R308" s="1" t="s">
        <v>1903</v>
      </c>
      <c r="S308" s="1" t="s">
        <v>1904</v>
      </c>
      <c r="T308" s="9">
        <v>10</v>
      </c>
      <c r="U308" s="1">
        <f>ROUNDUP(1272.73*(1-$F$3),2)</f>
        <v>1272.73</v>
      </c>
      <c r="V308" s="1">
        <v>399</v>
      </c>
      <c r="Y308" s="1" t="s">
        <v>1905</v>
      </c>
      <c r="Z308" s="1" t="s">
        <v>53</v>
      </c>
      <c r="AA308" s="12">
        <v>43099</v>
      </c>
      <c r="AB308" s="1" t="s">
        <v>66</v>
      </c>
      <c r="AC308" s="1" t="s">
        <v>77</v>
      </c>
      <c r="AD308" s="1" t="s">
        <v>78</v>
      </c>
      <c r="AE308" s="1" t="s">
        <v>69</v>
      </c>
      <c r="AG308" s="1">
        <v>8423220</v>
      </c>
    </row>
    <row r="309" spans="1:33" s="11" customFormat="1" x14ac:dyDescent="0.25">
      <c r="A309" s="11" t="s">
        <v>6953</v>
      </c>
      <c r="C309" s="11" t="s">
        <v>1906</v>
      </c>
      <c r="D309" s="11" t="s">
        <v>1907</v>
      </c>
      <c r="E309" s="11" t="s">
        <v>1908</v>
      </c>
      <c r="F309" s="14" t="s">
        <v>6952</v>
      </c>
      <c r="G309" s="11" t="s">
        <v>1909</v>
      </c>
      <c r="H309" s="11" t="s">
        <v>61</v>
      </c>
      <c r="I309" s="11">
        <v>368</v>
      </c>
      <c r="J309" s="11" t="s">
        <v>46</v>
      </c>
      <c r="M309" s="11" t="s">
        <v>62</v>
      </c>
      <c r="N309" s="11" t="s">
        <v>48</v>
      </c>
      <c r="O309" s="23">
        <v>6</v>
      </c>
      <c r="P309" s="11">
        <f>ROUNDUP(850*(1-$F$3),2)</f>
        <v>850</v>
      </c>
      <c r="Q309" s="11" t="s">
        <v>49</v>
      </c>
      <c r="R309" s="11" t="s">
        <v>1910</v>
      </c>
      <c r="S309" s="11" t="s">
        <v>1911</v>
      </c>
      <c r="T309" s="23">
        <v>10</v>
      </c>
      <c r="U309" s="11">
        <f>ROUNDUP(772.73*(1-$F$3),2)</f>
        <v>772.73</v>
      </c>
      <c r="V309" s="11">
        <v>401</v>
      </c>
      <c r="Y309" s="11" t="s">
        <v>1912</v>
      </c>
      <c r="Z309" s="11" t="s">
        <v>53</v>
      </c>
      <c r="AA309" s="15">
        <v>46124</v>
      </c>
      <c r="AB309" s="11" t="s">
        <v>66</v>
      </c>
      <c r="AC309" s="11" t="s">
        <v>77</v>
      </c>
      <c r="AD309" s="11" t="s">
        <v>78</v>
      </c>
      <c r="AE309" s="11" t="s">
        <v>69</v>
      </c>
      <c r="AG309" s="11">
        <v>12071100</v>
      </c>
    </row>
    <row r="310" spans="1:33" s="1" customFormat="1" x14ac:dyDescent="0.25">
      <c r="C310" s="1" t="s">
        <v>1913</v>
      </c>
      <c r="D310" s="1" t="s">
        <v>1914</v>
      </c>
      <c r="E310" s="1" t="s">
        <v>1915</v>
      </c>
      <c r="F310" s="13" t="s">
        <v>6952</v>
      </c>
      <c r="H310" s="1" t="s">
        <v>1916</v>
      </c>
      <c r="I310" s="1">
        <v>1</v>
      </c>
      <c r="J310" s="1" t="s">
        <v>46</v>
      </c>
      <c r="M310" s="1" t="s">
        <v>835</v>
      </c>
      <c r="N310" s="1" t="s">
        <v>48</v>
      </c>
      <c r="O310" s="9">
        <v>1</v>
      </c>
      <c r="P310" s="1">
        <f>ROUNDUP(870*(1-$F$3),2)</f>
        <v>870</v>
      </c>
      <c r="Q310" s="1" t="s">
        <v>49</v>
      </c>
      <c r="R310" s="1" t="s">
        <v>1917</v>
      </c>
      <c r="S310" s="1" t="s">
        <v>1918</v>
      </c>
      <c r="T310" s="9">
        <v>22</v>
      </c>
      <c r="U310" s="1">
        <f>ROUNDUP(713.11*(1-$F$3),2)</f>
        <v>713.11</v>
      </c>
      <c r="V310" s="1">
        <v>11</v>
      </c>
      <c r="Y310" s="1" t="s">
        <v>1919</v>
      </c>
      <c r="AA310" s="12">
        <v>44095</v>
      </c>
      <c r="AB310" s="1" t="s">
        <v>286</v>
      </c>
      <c r="AC310" s="1" t="s">
        <v>320</v>
      </c>
      <c r="AD310" s="1" t="s">
        <v>1920</v>
      </c>
      <c r="AE310" s="1" t="s">
        <v>49</v>
      </c>
      <c r="AG310" s="1">
        <v>9521050</v>
      </c>
    </row>
    <row r="311" spans="1:33" s="1" customFormat="1" x14ac:dyDescent="0.25">
      <c r="C311" s="1" t="s">
        <v>1921</v>
      </c>
      <c r="D311" s="1" t="s">
        <v>1914</v>
      </c>
      <c r="E311" s="1" t="s">
        <v>1922</v>
      </c>
      <c r="F311" s="13" t="s">
        <v>6952</v>
      </c>
      <c r="I311" s="1">
        <v>2</v>
      </c>
      <c r="J311" s="1" t="s">
        <v>46</v>
      </c>
      <c r="M311" s="1" t="s">
        <v>756</v>
      </c>
      <c r="N311" s="1" t="s">
        <v>48</v>
      </c>
      <c r="O311" s="9">
        <v>1</v>
      </c>
      <c r="P311" s="1">
        <f>ROUNDUP(950*(1-$F$3),2)</f>
        <v>950</v>
      </c>
      <c r="Q311" s="1" t="s">
        <v>49</v>
      </c>
      <c r="R311" s="1" t="s">
        <v>1923</v>
      </c>
      <c r="S311" s="1" t="s">
        <v>1924</v>
      </c>
      <c r="T311" s="9">
        <v>22</v>
      </c>
      <c r="U311" s="1">
        <f>ROUNDUP(778.69*(1-$F$3),2)</f>
        <v>778.69</v>
      </c>
      <c r="V311" s="1">
        <v>0</v>
      </c>
      <c r="Y311" s="1" t="s">
        <v>1925</v>
      </c>
      <c r="AA311" s="12">
        <v>44466</v>
      </c>
      <c r="AB311" s="1" t="s">
        <v>49</v>
      </c>
      <c r="AC311" s="1" t="s">
        <v>49</v>
      </c>
      <c r="AD311" s="1" t="s">
        <v>49</v>
      </c>
      <c r="AE311" s="1" t="s">
        <v>49</v>
      </c>
      <c r="AG311" s="1">
        <v>9975510</v>
      </c>
    </row>
    <row r="312" spans="1:33" s="1" customFormat="1" x14ac:dyDescent="0.25">
      <c r="C312" s="1" t="s">
        <v>1926</v>
      </c>
      <c r="D312" s="1" t="s">
        <v>1914</v>
      </c>
      <c r="E312" s="1" t="s">
        <v>1927</v>
      </c>
      <c r="F312" s="13" t="s">
        <v>6952</v>
      </c>
      <c r="G312" s="1" t="s">
        <v>1928</v>
      </c>
      <c r="J312" s="1" t="s">
        <v>46</v>
      </c>
      <c r="M312" s="1" t="s">
        <v>756</v>
      </c>
      <c r="N312" s="1" t="s">
        <v>48</v>
      </c>
      <c r="O312" s="9"/>
      <c r="P312" s="1">
        <f>ROUNDUP(1010*(1-$F$3),2)</f>
        <v>1010</v>
      </c>
      <c r="Q312" s="1" t="s">
        <v>49</v>
      </c>
      <c r="R312" s="1" t="s">
        <v>1929</v>
      </c>
      <c r="S312" s="1" t="s">
        <v>1930</v>
      </c>
      <c r="T312" s="9">
        <v>22</v>
      </c>
      <c r="U312" s="1">
        <f>ROUNDUP(827.87*(1-$F$3),2)</f>
        <v>827.87</v>
      </c>
      <c r="V312" s="1">
        <v>0</v>
      </c>
      <c r="Y312" s="1" t="s">
        <v>1931</v>
      </c>
      <c r="AA312" s="12">
        <v>44334</v>
      </c>
      <c r="AB312" s="1" t="s">
        <v>49</v>
      </c>
      <c r="AC312" s="1" t="s">
        <v>49</v>
      </c>
      <c r="AD312" s="1" t="s">
        <v>49</v>
      </c>
      <c r="AE312" s="1" t="s">
        <v>49</v>
      </c>
      <c r="AG312" s="1">
        <v>9724800</v>
      </c>
    </row>
    <row r="313" spans="1:33" s="1" customFormat="1" x14ac:dyDescent="0.25">
      <c r="C313" s="1" t="s">
        <v>1932</v>
      </c>
      <c r="D313" s="1" t="s">
        <v>1914</v>
      </c>
      <c r="E313" s="1" t="s">
        <v>1933</v>
      </c>
      <c r="F313" s="13" t="s">
        <v>6952</v>
      </c>
      <c r="G313" s="1" t="s">
        <v>1928</v>
      </c>
      <c r="H313" s="1" t="s">
        <v>1934</v>
      </c>
      <c r="I313" s="1">
        <v>1</v>
      </c>
      <c r="J313" s="1" t="s">
        <v>46</v>
      </c>
      <c r="M313" s="1" t="s">
        <v>1061</v>
      </c>
      <c r="N313" s="1" t="s">
        <v>48</v>
      </c>
      <c r="O313" s="9"/>
      <c r="P313" s="1">
        <f>ROUNDUP(940*(1-$F$3),2)</f>
        <v>940</v>
      </c>
      <c r="Q313" s="1" t="s">
        <v>49</v>
      </c>
      <c r="R313" s="1" t="s">
        <v>1935</v>
      </c>
      <c r="S313" s="1" t="s">
        <v>1936</v>
      </c>
      <c r="T313" s="9">
        <v>22</v>
      </c>
      <c r="U313" s="1">
        <f>ROUNDUP(770.49*(1-$F$3),2)</f>
        <v>770.49</v>
      </c>
      <c r="V313" s="1">
        <v>18</v>
      </c>
      <c r="Y313" s="1" t="s">
        <v>1937</v>
      </c>
      <c r="AA313" s="12">
        <v>43797</v>
      </c>
      <c r="AB313" s="1" t="s">
        <v>286</v>
      </c>
      <c r="AC313" s="1" t="s">
        <v>320</v>
      </c>
      <c r="AD313" s="1" t="s">
        <v>1920</v>
      </c>
      <c r="AE313" s="1" t="s">
        <v>49</v>
      </c>
      <c r="AG313" s="1">
        <v>9257560</v>
      </c>
    </row>
    <row r="314" spans="1:33" s="1" customFormat="1" x14ac:dyDescent="0.25">
      <c r="C314" s="1" t="s">
        <v>1938</v>
      </c>
      <c r="D314" s="1" t="s">
        <v>1914</v>
      </c>
      <c r="E314" s="1" t="s">
        <v>1939</v>
      </c>
      <c r="F314" s="13" t="s">
        <v>6952</v>
      </c>
      <c r="G314" s="1" t="s">
        <v>1928</v>
      </c>
      <c r="H314" s="1" t="s">
        <v>1934</v>
      </c>
      <c r="I314" s="1">
        <v>1</v>
      </c>
      <c r="J314" s="1" t="s">
        <v>46</v>
      </c>
      <c r="M314" s="1" t="s">
        <v>1061</v>
      </c>
      <c r="N314" s="1" t="s">
        <v>48</v>
      </c>
      <c r="O314" s="9"/>
      <c r="P314" s="1">
        <f>ROUNDUP(940*(1-$F$3),2)</f>
        <v>940</v>
      </c>
      <c r="Q314" s="1" t="s">
        <v>49</v>
      </c>
      <c r="R314" s="1" t="s">
        <v>1940</v>
      </c>
      <c r="S314" s="1" t="s">
        <v>1941</v>
      </c>
      <c r="T314" s="9">
        <v>22</v>
      </c>
      <c r="U314" s="1">
        <f>ROUNDUP(770.49*(1-$F$3),2)</f>
        <v>770.49</v>
      </c>
      <c r="V314" s="1">
        <v>18</v>
      </c>
      <c r="Y314" s="1" t="s">
        <v>1942</v>
      </c>
      <c r="AA314" s="12">
        <v>43797</v>
      </c>
      <c r="AB314" s="1" t="s">
        <v>286</v>
      </c>
      <c r="AC314" s="1" t="s">
        <v>320</v>
      </c>
      <c r="AD314" s="1" t="s">
        <v>1920</v>
      </c>
      <c r="AE314" s="1" t="s">
        <v>49</v>
      </c>
      <c r="AG314" s="1">
        <v>9257550</v>
      </c>
    </row>
    <row r="315" spans="1:33" s="1" customFormat="1" x14ac:dyDescent="0.25">
      <c r="C315" s="1" t="s">
        <v>1943</v>
      </c>
      <c r="D315" s="1" t="s">
        <v>1914</v>
      </c>
      <c r="E315" s="1" t="s">
        <v>1944</v>
      </c>
      <c r="F315" s="13" t="s">
        <v>6952</v>
      </c>
      <c r="G315" s="1" t="s">
        <v>1928</v>
      </c>
      <c r="H315" s="1" t="s">
        <v>1945</v>
      </c>
      <c r="I315" s="1">
        <v>38</v>
      </c>
      <c r="J315" s="1" t="s">
        <v>46</v>
      </c>
      <c r="M315" s="1" t="s">
        <v>835</v>
      </c>
      <c r="N315" s="1" t="s">
        <v>48</v>
      </c>
      <c r="O315" s="9">
        <v>120</v>
      </c>
      <c r="P315" s="1">
        <f>ROUNDUP(1130*(1-$F$3),2)</f>
        <v>1130</v>
      </c>
      <c r="Q315" s="1" t="s">
        <v>49</v>
      </c>
      <c r="R315" s="1" t="s">
        <v>1946</v>
      </c>
      <c r="S315" s="1" t="s">
        <v>1947</v>
      </c>
      <c r="T315" s="9">
        <v>22</v>
      </c>
      <c r="U315" s="1">
        <f>ROUNDUP(926.23*(1-$F$3),2)</f>
        <v>926.23</v>
      </c>
      <c r="V315" s="1">
        <v>91</v>
      </c>
      <c r="Y315" s="1" t="s">
        <v>1948</v>
      </c>
      <c r="Z315" s="1" t="s">
        <v>53</v>
      </c>
      <c r="AA315" s="12">
        <v>43887</v>
      </c>
      <c r="AB315" s="1" t="s">
        <v>286</v>
      </c>
      <c r="AC315" s="1" t="s">
        <v>320</v>
      </c>
      <c r="AD315" s="1" t="s">
        <v>1920</v>
      </c>
      <c r="AE315" s="1" t="s">
        <v>322</v>
      </c>
      <c r="AG315" s="1">
        <v>9311610</v>
      </c>
    </row>
    <row r="316" spans="1:33" s="1" customFormat="1" x14ac:dyDescent="0.25">
      <c r="C316" s="1" t="s">
        <v>1949</v>
      </c>
      <c r="D316" s="1" t="s">
        <v>1914</v>
      </c>
      <c r="E316" s="1" t="s">
        <v>1950</v>
      </c>
      <c r="F316" s="13" t="s">
        <v>6952</v>
      </c>
      <c r="G316" s="1" t="s">
        <v>1928</v>
      </c>
      <c r="H316" s="1" t="s">
        <v>1945</v>
      </c>
      <c r="I316" s="1">
        <v>32</v>
      </c>
      <c r="J316" s="1" t="s">
        <v>46</v>
      </c>
      <c r="M316" s="1" t="s">
        <v>756</v>
      </c>
      <c r="N316" s="1" t="s">
        <v>48</v>
      </c>
      <c r="O316" s="9">
        <v>80</v>
      </c>
      <c r="P316" s="1">
        <f>ROUNDUP(1160*(1-$F$3),2)</f>
        <v>1160</v>
      </c>
      <c r="Q316" s="1" t="s">
        <v>49</v>
      </c>
      <c r="R316" s="1" t="s">
        <v>1951</v>
      </c>
      <c r="S316" s="1" t="s">
        <v>1952</v>
      </c>
      <c r="T316" s="9">
        <v>22</v>
      </c>
      <c r="U316" s="1">
        <f>ROUNDUP(950.82*(1-$F$3),2)</f>
        <v>950.82</v>
      </c>
      <c r="V316" s="1">
        <v>79</v>
      </c>
      <c r="Y316" s="1" t="s">
        <v>1953</v>
      </c>
      <c r="Z316" s="1" t="s">
        <v>53</v>
      </c>
      <c r="AA316" s="12">
        <v>44274</v>
      </c>
      <c r="AB316" s="1" t="s">
        <v>286</v>
      </c>
      <c r="AC316" s="1" t="s">
        <v>320</v>
      </c>
      <c r="AD316" s="1" t="s">
        <v>1920</v>
      </c>
      <c r="AE316" s="1" t="s">
        <v>49</v>
      </c>
      <c r="AG316" s="1">
        <v>9675710</v>
      </c>
    </row>
    <row r="317" spans="1:33" s="11" customFormat="1" x14ac:dyDescent="0.25">
      <c r="A317" s="11" t="s">
        <v>6953</v>
      </c>
      <c r="C317" s="11" t="s">
        <v>1954</v>
      </c>
      <c r="D317" s="11" t="s">
        <v>1955</v>
      </c>
      <c r="E317" s="11" t="s">
        <v>1956</v>
      </c>
      <c r="F317" s="14" t="s">
        <v>6952</v>
      </c>
      <c r="G317" s="11" t="s">
        <v>1957</v>
      </c>
      <c r="H317" s="11" t="s">
        <v>61</v>
      </c>
      <c r="I317" s="11">
        <v>416</v>
      </c>
      <c r="J317" s="11" t="s">
        <v>46</v>
      </c>
      <c r="M317" s="11" t="s">
        <v>62</v>
      </c>
      <c r="N317" s="11" t="s">
        <v>48</v>
      </c>
      <c r="O317" s="23">
        <v>6</v>
      </c>
      <c r="P317" s="11">
        <f>ROUNDUP(980*(1-$F$3),2)</f>
        <v>980</v>
      </c>
      <c r="Q317" s="11" t="s">
        <v>49</v>
      </c>
      <c r="R317" s="11" t="s">
        <v>1958</v>
      </c>
      <c r="S317" s="11" t="s">
        <v>1959</v>
      </c>
      <c r="T317" s="23">
        <v>10</v>
      </c>
      <c r="U317" s="11">
        <f>ROUNDUP(890.91*(1-$F$3),2)</f>
        <v>890.91</v>
      </c>
      <c r="V317" s="11">
        <v>429</v>
      </c>
      <c r="Y317" s="11" t="s">
        <v>1960</v>
      </c>
      <c r="Z317" s="11" t="s">
        <v>53</v>
      </c>
      <c r="AA317" s="15">
        <v>46104</v>
      </c>
      <c r="AB317" s="11" t="s">
        <v>66</v>
      </c>
      <c r="AC317" s="11" t="s">
        <v>77</v>
      </c>
      <c r="AD317" s="11" t="s">
        <v>78</v>
      </c>
      <c r="AE317" s="11" t="s">
        <v>69</v>
      </c>
      <c r="AG317" s="11">
        <v>12041840</v>
      </c>
    </row>
    <row r="318" spans="1:33" s="1" customFormat="1" x14ac:dyDescent="0.25">
      <c r="C318" s="1" t="s">
        <v>1961</v>
      </c>
      <c r="D318" s="1" t="s">
        <v>1962</v>
      </c>
      <c r="E318" s="1" t="s">
        <v>1963</v>
      </c>
      <c r="F318" s="13" t="s">
        <v>6952</v>
      </c>
      <c r="G318" s="1" t="s">
        <v>1964</v>
      </c>
      <c r="H318" s="1" t="s">
        <v>61</v>
      </c>
      <c r="I318" s="1">
        <v>480</v>
      </c>
      <c r="J318" s="1" t="s">
        <v>46</v>
      </c>
      <c r="M318" s="1" t="s">
        <v>176</v>
      </c>
      <c r="N318" s="1" t="s">
        <v>48</v>
      </c>
      <c r="O318" s="9">
        <v>6</v>
      </c>
      <c r="P318" s="1">
        <f>ROUNDUP(1150*(1-$F$3),2)</f>
        <v>1150</v>
      </c>
      <c r="Q318" s="1" t="s">
        <v>49</v>
      </c>
      <c r="R318" s="1" t="s">
        <v>1965</v>
      </c>
      <c r="S318" s="1" t="s">
        <v>1966</v>
      </c>
      <c r="T318" s="9">
        <v>10</v>
      </c>
      <c r="U318" s="1">
        <f>ROUNDUP(1045.45*(1-$F$3),2)</f>
        <v>1045.45</v>
      </c>
      <c r="V318" s="1">
        <v>571</v>
      </c>
      <c r="Y318" s="1" t="s">
        <v>1967</v>
      </c>
      <c r="Z318" s="1" t="s">
        <v>128</v>
      </c>
      <c r="AA318" s="12">
        <v>45225</v>
      </c>
      <c r="AB318" s="1" t="s">
        <v>66</v>
      </c>
      <c r="AC318" s="1" t="s">
        <v>77</v>
      </c>
      <c r="AD318" s="1" t="s">
        <v>1360</v>
      </c>
      <c r="AE318" s="1" t="s">
        <v>69</v>
      </c>
      <c r="AG318" s="1">
        <v>11095770</v>
      </c>
    </row>
    <row r="319" spans="1:33" s="1" customFormat="1" x14ac:dyDescent="0.25">
      <c r="C319" s="1" t="s">
        <v>1968</v>
      </c>
      <c r="D319" s="1" t="s">
        <v>1969</v>
      </c>
      <c r="E319" s="1" t="s">
        <v>1970</v>
      </c>
      <c r="F319" s="13" t="s">
        <v>6952</v>
      </c>
      <c r="G319" s="1" t="s">
        <v>1971</v>
      </c>
      <c r="H319" s="1" t="s">
        <v>61</v>
      </c>
      <c r="I319" s="1">
        <v>224</v>
      </c>
      <c r="J319" s="1" t="s">
        <v>46</v>
      </c>
      <c r="K319" s="1" t="s">
        <v>1566</v>
      </c>
      <c r="M319" s="1" t="s">
        <v>835</v>
      </c>
      <c r="N319" s="1" t="s">
        <v>139</v>
      </c>
      <c r="O319" s="9">
        <v>18</v>
      </c>
      <c r="P319" s="1">
        <f>ROUNDUP(1110*(1-$F$3),2)</f>
        <v>1110</v>
      </c>
      <c r="Q319" s="1" t="s">
        <v>49</v>
      </c>
      <c r="R319" s="1" t="s">
        <v>1972</v>
      </c>
      <c r="S319" s="1" t="s">
        <v>1973</v>
      </c>
      <c r="T319" s="9">
        <v>10</v>
      </c>
      <c r="U319" s="1">
        <f>ROUNDUP(1009.09*(1-$F$3),2)</f>
        <v>1009.09</v>
      </c>
      <c r="V319" s="1">
        <v>248</v>
      </c>
      <c r="Y319" s="1" t="s">
        <v>1974</v>
      </c>
      <c r="Z319" s="1" t="s">
        <v>53</v>
      </c>
      <c r="AA319" s="12">
        <v>43794</v>
      </c>
      <c r="AB319" s="1" t="s">
        <v>445</v>
      </c>
      <c r="AC319" s="1" t="s">
        <v>1975</v>
      </c>
      <c r="AD319" s="1" t="s">
        <v>1975</v>
      </c>
      <c r="AE319" s="1" t="s">
        <v>69</v>
      </c>
      <c r="AG319" s="1">
        <v>9252540</v>
      </c>
    </row>
    <row r="320" spans="1:33" s="1" customFormat="1" x14ac:dyDescent="0.25">
      <c r="C320" s="1" t="s">
        <v>1976</v>
      </c>
      <c r="D320" s="1" t="s">
        <v>1977</v>
      </c>
      <c r="E320" s="1" t="s">
        <v>1978</v>
      </c>
      <c r="F320" s="13" t="s">
        <v>6952</v>
      </c>
      <c r="G320" s="1" t="s">
        <v>1771</v>
      </c>
      <c r="H320" s="1" t="s">
        <v>61</v>
      </c>
      <c r="I320" s="1">
        <v>454</v>
      </c>
      <c r="J320" s="1" t="s">
        <v>46</v>
      </c>
      <c r="M320" s="1" t="s">
        <v>47</v>
      </c>
      <c r="N320" s="1" t="s">
        <v>48</v>
      </c>
      <c r="O320" s="9">
        <v>4</v>
      </c>
      <c r="P320" s="1">
        <f>ROUNDUP(1420*(1-$F$3),2)</f>
        <v>1420</v>
      </c>
      <c r="Q320" s="1" t="s">
        <v>49</v>
      </c>
      <c r="R320" s="1" t="s">
        <v>1979</v>
      </c>
      <c r="S320" s="1" t="s">
        <v>1980</v>
      </c>
      <c r="T320" s="9">
        <v>10</v>
      </c>
      <c r="U320" s="1">
        <f>ROUNDUP(1290.91*(1-$F$3),2)</f>
        <v>1290.9100000000001</v>
      </c>
      <c r="V320" s="1">
        <v>478</v>
      </c>
      <c r="Y320" s="1" t="s">
        <v>1981</v>
      </c>
      <c r="Z320" s="1" t="s">
        <v>128</v>
      </c>
      <c r="AA320" s="12">
        <v>44130</v>
      </c>
      <c r="AB320" s="1" t="s">
        <v>86</v>
      </c>
      <c r="AC320" s="1" t="s">
        <v>401</v>
      </c>
      <c r="AD320" s="1" t="s">
        <v>402</v>
      </c>
      <c r="AE320" s="1" t="s">
        <v>69</v>
      </c>
      <c r="AG320" s="1">
        <v>9549470</v>
      </c>
    </row>
    <row r="321" spans="1:33" s="1" customFormat="1" x14ac:dyDescent="0.25">
      <c r="C321" s="1" t="s">
        <v>1982</v>
      </c>
      <c r="D321" s="1" t="s">
        <v>1983</v>
      </c>
      <c r="E321" s="1" t="s">
        <v>1984</v>
      </c>
      <c r="F321" s="13" t="s">
        <v>6952</v>
      </c>
      <c r="G321" s="1" t="s">
        <v>1985</v>
      </c>
      <c r="H321" s="1" t="s">
        <v>61</v>
      </c>
      <c r="I321" s="1">
        <v>351</v>
      </c>
      <c r="J321" s="1" t="s">
        <v>46</v>
      </c>
      <c r="K321" s="1" t="s">
        <v>1566</v>
      </c>
      <c r="M321" s="1" t="s">
        <v>835</v>
      </c>
      <c r="N321" s="1" t="s">
        <v>139</v>
      </c>
      <c r="O321" s="9">
        <v>43</v>
      </c>
      <c r="P321" s="1">
        <f>ROUNDUP(1250*(1-$F$3),2)</f>
        <v>1250</v>
      </c>
      <c r="Q321" s="1" t="s">
        <v>49</v>
      </c>
      <c r="R321" s="1" t="s">
        <v>1986</v>
      </c>
      <c r="S321" s="1" t="s">
        <v>1987</v>
      </c>
      <c r="T321" s="9">
        <v>10</v>
      </c>
      <c r="U321" s="1">
        <f>ROUNDUP(1136.36*(1-$F$3),2)</f>
        <v>1136.3599999999999</v>
      </c>
      <c r="V321" s="1">
        <v>379</v>
      </c>
      <c r="Y321" s="1" t="s">
        <v>1988</v>
      </c>
      <c r="Z321" s="1" t="s">
        <v>76</v>
      </c>
      <c r="AA321" s="12">
        <v>43850</v>
      </c>
      <c r="AB321" s="1" t="s">
        <v>234</v>
      </c>
      <c r="AC321" s="1" t="s">
        <v>528</v>
      </c>
      <c r="AD321" s="1" t="s">
        <v>1989</v>
      </c>
      <c r="AE321" s="1" t="s">
        <v>69</v>
      </c>
      <c r="AG321" s="1">
        <v>9287160</v>
      </c>
    </row>
    <row r="322" spans="1:33" s="1" customFormat="1" x14ac:dyDescent="0.25">
      <c r="C322" s="1" t="s">
        <v>1990</v>
      </c>
      <c r="D322" s="1" t="s">
        <v>1991</v>
      </c>
      <c r="E322" s="1" t="s">
        <v>1992</v>
      </c>
      <c r="F322" s="13" t="s">
        <v>6952</v>
      </c>
      <c r="G322" s="1" t="s">
        <v>1993</v>
      </c>
      <c r="H322" s="1" t="s">
        <v>61</v>
      </c>
      <c r="I322" s="1">
        <v>400</v>
      </c>
      <c r="J322" s="1" t="s">
        <v>46</v>
      </c>
      <c r="M322" s="1" t="s">
        <v>1994</v>
      </c>
      <c r="N322" s="1" t="s">
        <v>139</v>
      </c>
      <c r="O322" s="9">
        <v>14</v>
      </c>
      <c r="P322" s="1">
        <f>ROUNDUP(726.9*(1-$F$3),2)</f>
        <v>726.9</v>
      </c>
      <c r="Q322" s="1" t="s">
        <v>49</v>
      </c>
      <c r="R322" s="1" t="s">
        <v>1995</v>
      </c>
      <c r="S322" s="1" t="s">
        <v>1996</v>
      </c>
      <c r="T322" s="9">
        <v>10</v>
      </c>
      <c r="U322" s="1">
        <f>ROUNDUP(660.82*(1-$F$3),2)</f>
        <v>660.82</v>
      </c>
      <c r="V322" s="1">
        <v>325</v>
      </c>
      <c r="W322" s="1" t="s">
        <v>1997</v>
      </c>
      <c r="X322" s="1" t="s">
        <v>1998</v>
      </c>
      <c r="Y322" s="1" t="s">
        <v>1999</v>
      </c>
      <c r="Z322" s="1" t="s">
        <v>76</v>
      </c>
      <c r="AA322" s="12">
        <v>42247</v>
      </c>
      <c r="AB322" s="1" t="s">
        <v>66</v>
      </c>
      <c r="AC322" s="1" t="s">
        <v>67</v>
      </c>
      <c r="AD322" s="1" t="s">
        <v>670</v>
      </c>
      <c r="AE322" s="1" t="s">
        <v>49</v>
      </c>
      <c r="AG322" s="1">
        <v>6805670</v>
      </c>
    </row>
    <row r="323" spans="1:33" s="1" customFormat="1" x14ac:dyDescent="0.25">
      <c r="C323" s="1" t="s">
        <v>2000</v>
      </c>
      <c r="D323" s="1" t="s">
        <v>2001</v>
      </c>
      <c r="E323" s="1" t="s">
        <v>2002</v>
      </c>
      <c r="F323" s="13" t="s">
        <v>6952</v>
      </c>
      <c r="G323" s="1" t="s">
        <v>2003</v>
      </c>
      <c r="H323" s="1" t="s">
        <v>160</v>
      </c>
      <c r="I323" s="1">
        <v>288</v>
      </c>
      <c r="J323" s="1" t="s">
        <v>46</v>
      </c>
      <c r="M323" s="1" t="s">
        <v>169</v>
      </c>
      <c r="N323" s="1" t="s">
        <v>139</v>
      </c>
      <c r="O323" s="9">
        <v>16</v>
      </c>
      <c r="P323" s="1">
        <f>ROUNDUP(780*(1-$F$3),2)</f>
        <v>780</v>
      </c>
      <c r="Q323" s="1" t="s">
        <v>49</v>
      </c>
      <c r="R323" s="1" t="s">
        <v>2004</v>
      </c>
      <c r="S323" s="1" t="s">
        <v>2005</v>
      </c>
      <c r="T323" s="9">
        <v>22</v>
      </c>
      <c r="U323" s="1">
        <f>ROUNDUP(639.34*(1-$F$3),2)</f>
        <v>639.34</v>
      </c>
      <c r="V323" s="1">
        <v>303</v>
      </c>
      <c r="Y323" s="1" t="s">
        <v>2006</v>
      </c>
      <c r="Z323" s="1" t="s">
        <v>76</v>
      </c>
      <c r="AA323" s="12">
        <v>44713</v>
      </c>
      <c r="AB323" s="1" t="s">
        <v>459</v>
      </c>
      <c r="AC323" s="1" t="s">
        <v>2007</v>
      </c>
      <c r="AD323" s="1" t="s">
        <v>2008</v>
      </c>
      <c r="AE323" s="1" t="s">
        <v>69</v>
      </c>
      <c r="AG323" s="1">
        <v>10480100</v>
      </c>
    </row>
    <row r="324" spans="1:33" s="1" customFormat="1" x14ac:dyDescent="0.25">
      <c r="C324" s="1" t="s">
        <v>2009</v>
      </c>
      <c r="D324" s="1" t="s">
        <v>2001</v>
      </c>
      <c r="E324" s="1" t="s">
        <v>2010</v>
      </c>
      <c r="F324" s="13" t="s">
        <v>6952</v>
      </c>
      <c r="G324" s="1" t="s">
        <v>2003</v>
      </c>
      <c r="H324" s="1" t="s">
        <v>160</v>
      </c>
      <c r="I324" s="1">
        <v>272</v>
      </c>
      <c r="J324" s="1" t="s">
        <v>46</v>
      </c>
      <c r="M324" s="1" t="s">
        <v>169</v>
      </c>
      <c r="N324" s="1" t="s">
        <v>139</v>
      </c>
      <c r="O324" s="9">
        <v>16</v>
      </c>
      <c r="P324" s="1">
        <f>ROUNDUP(790*(1-$F$3),2)</f>
        <v>790</v>
      </c>
      <c r="Q324" s="1" t="s">
        <v>49</v>
      </c>
      <c r="R324" s="1" t="s">
        <v>2011</v>
      </c>
      <c r="S324" s="1" t="s">
        <v>2012</v>
      </c>
      <c r="T324" s="9">
        <v>10</v>
      </c>
      <c r="U324" s="1">
        <f>ROUNDUP(718.18*(1-$F$3),2)</f>
        <v>718.18</v>
      </c>
      <c r="V324" s="1">
        <v>287</v>
      </c>
      <c r="Y324" s="1" t="s">
        <v>2013</v>
      </c>
      <c r="Z324" s="1" t="s">
        <v>53</v>
      </c>
      <c r="AA324" s="12">
        <v>44712</v>
      </c>
      <c r="AB324" s="1" t="s">
        <v>459</v>
      </c>
      <c r="AC324" s="1" t="s">
        <v>2007</v>
      </c>
      <c r="AD324" s="1" t="s">
        <v>2014</v>
      </c>
      <c r="AE324" s="1" t="s">
        <v>69</v>
      </c>
      <c r="AG324" s="1">
        <v>10482290</v>
      </c>
    </row>
    <row r="325" spans="1:33" s="11" customFormat="1" x14ac:dyDescent="0.25">
      <c r="A325" s="11" t="s">
        <v>6953</v>
      </c>
      <c r="C325" s="11" t="s">
        <v>2015</v>
      </c>
      <c r="D325" s="11" t="s">
        <v>2016</v>
      </c>
      <c r="E325" s="11" t="s">
        <v>1482</v>
      </c>
      <c r="F325" s="14" t="s">
        <v>6952</v>
      </c>
      <c r="G325" s="11" t="s">
        <v>843</v>
      </c>
      <c r="H325" s="11" t="s">
        <v>2017</v>
      </c>
      <c r="I325" s="11">
        <v>496</v>
      </c>
      <c r="J325" s="11" t="s">
        <v>46</v>
      </c>
      <c r="M325" s="11" t="s">
        <v>62</v>
      </c>
      <c r="N325" s="11" t="s">
        <v>139</v>
      </c>
      <c r="O325" s="23">
        <v>6</v>
      </c>
      <c r="P325" s="11">
        <f>ROUNDUP(660*(1-$F$3),2)</f>
        <v>660</v>
      </c>
      <c r="Q325" s="11" t="s">
        <v>49</v>
      </c>
      <c r="R325" s="11" t="s">
        <v>2018</v>
      </c>
      <c r="S325" s="11" t="s">
        <v>2019</v>
      </c>
      <c r="T325" s="23">
        <v>22</v>
      </c>
      <c r="U325" s="11">
        <f>ROUNDUP(540.98*(1-$F$3),2)</f>
        <v>540.98</v>
      </c>
      <c r="V325" s="11">
        <v>252</v>
      </c>
      <c r="Y325" s="11" t="s">
        <v>1485</v>
      </c>
      <c r="Z325" s="11" t="s">
        <v>76</v>
      </c>
      <c r="AA325" s="15">
        <v>43218</v>
      </c>
      <c r="AB325" s="11" t="s">
        <v>66</v>
      </c>
      <c r="AC325" s="11" t="s">
        <v>143</v>
      </c>
      <c r="AD325" s="11" t="s">
        <v>847</v>
      </c>
      <c r="AE325" s="11" t="s">
        <v>69</v>
      </c>
      <c r="AG325" s="11">
        <v>8601420</v>
      </c>
    </row>
    <row r="326" spans="1:33" s="1" customFormat="1" x14ac:dyDescent="0.25">
      <c r="C326" s="1" t="s">
        <v>2020</v>
      </c>
      <c r="D326" s="1" t="s">
        <v>2016</v>
      </c>
      <c r="E326" s="1" t="s">
        <v>2021</v>
      </c>
      <c r="F326" s="13" t="s">
        <v>6952</v>
      </c>
      <c r="G326" s="1" t="s">
        <v>961</v>
      </c>
      <c r="H326" s="1" t="s">
        <v>61</v>
      </c>
      <c r="I326" s="1">
        <v>384</v>
      </c>
      <c r="J326" s="1" t="s">
        <v>46</v>
      </c>
      <c r="M326" s="1" t="s">
        <v>169</v>
      </c>
      <c r="N326" s="1" t="s">
        <v>48</v>
      </c>
      <c r="O326" s="9">
        <v>8</v>
      </c>
      <c r="P326" s="1">
        <f>ROUNDUP(1240*(1-$F$3),2)</f>
        <v>1240</v>
      </c>
      <c r="Q326" s="1" t="s">
        <v>49</v>
      </c>
      <c r="R326" s="1" t="s">
        <v>2022</v>
      </c>
      <c r="S326" s="1" t="s">
        <v>2023</v>
      </c>
      <c r="T326" s="9">
        <v>10</v>
      </c>
      <c r="U326" s="1">
        <f>ROUNDUP(1127.27*(1-$F$3),2)</f>
        <v>1127.27</v>
      </c>
      <c r="V326" s="1">
        <v>476</v>
      </c>
      <c r="Y326" s="1" t="s">
        <v>2024</v>
      </c>
      <c r="Z326" s="1" t="s">
        <v>53</v>
      </c>
      <c r="AA326" s="12">
        <v>44658</v>
      </c>
      <c r="AB326" s="1" t="s">
        <v>66</v>
      </c>
      <c r="AC326" s="1" t="s">
        <v>120</v>
      </c>
      <c r="AD326" s="1" t="s">
        <v>121</v>
      </c>
      <c r="AE326" s="1" t="s">
        <v>69</v>
      </c>
      <c r="AG326" s="1">
        <v>10373370</v>
      </c>
    </row>
    <row r="327" spans="1:33" s="1" customFormat="1" x14ac:dyDescent="0.25">
      <c r="C327" s="1" t="s">
        <v>2025</v>
      </c>
      <c r="D327" s="1" t="s">
        <v>2026</v>
      </c>
      <c r="E327" s="1" t="s">
        <v>972</v>
      </c>
      <c r="F327" s="13" t="s">
        <v>6952</v>
      </c>
      <c r="G327" s="1" t="s">
        <v>973</v>
      </c>
      <c r="H327" s="1" t="s">
        <v>61</v>
      </c>
      <c r="I327" s="1">
        <v>384</v>
      </c>
      <c r="J327" s="1" t="s">
        <v>46</v>
      </c>
      <c r="M327" s="1" t="s">
        <v>756</v>
      </c>
      <c r="N327" s="1" t="s">
        <v>48</v>
      </c>
      <c r="O327" s="9">
        <v>12</v>
      </c>
      <c r="P327" s="1">
        <f>ROUNDUP(1260*(1-$F$3),2)</f>
        <v>1260</v>
      </c>
      <c r="Q327" s="1" t="s">
        <v>49</v>
      </c>
      <c r="R327" s="1" t="s">
        <v>2027</v>
      </c>
      <c r="S327" s="1" t="s">
        <v>2028</v>
      </c>
      <c r="T327" s="9">
        <v>10</v>
      </c>
      <c r="U327" s="1">
        <f>ROUNDUP(1145.45*(1-$F$3),2)</f>
        <v>1145.45</v>
      </c>
      <c r="V327" s="1">
        <v>488</v>
      </c>
      <c r="Y327" s="1" t="s">
        <v>976</v>
      </c>
      <c r="Z327" s="1" t="s">
        <v>53</v>
      </c>
      <c r="AA327" s="12">
        <v>44211</v>
      </c>
      <c r="AB327" s="1" t="s">
        <v>66</v>
      </c>
      <c r="AC327" s="1" t="s">
        <v>683</v>
      </c>
      <c r="AD327" s="1" t="s">
        <v>684</v>
      </c>
      <c r="AE327" s="1" t="s">
        <v>69</v>
      </c>
      <c r="AG327" s="1">
        <v>9598890</v>
      </c>
    </row>
    <row r="328" spans="1:33" s="1" customFormat="1" x14ac:dyDescent="0.25">
      <c r="C328" s="1" t="s">
        <v>2029</v>
      </c>
      <c r="D328" s="1" t="s">
        <v>2030</v>
      </c>
      <c r="E328" s="1" t="s">
        <v>2031</v>
      </c>
      <c r="F328" s="13" t="s">
        <v>6952</v>
      </c>
      <c r="G328" s="1" t="s">
        <v>2032</v>
      </c>
      <c r="H328" s="1" t="s">
        <v>61</v>
      </c>
      <c r="I328" s="1">
        <v>352</v>
      </c>
      <c r="J328" s="1" t="s">
        <v>46</v>
      </c>
      <c r="M328" s="1" t="s">
        <v>987</v>
      </c>
      <c r="N328" s="1" t="s">
        <v>48</v>
      </c>
      <c r="O328" s="9">
        <v>14</v>
      </c>
      <c r="P328" s="1">
        <f>ROUNDUP(1300*(1-$F$3),2)</f>
        <v>1300</v>
      </c>
      <c r="Q328" s="1" t="s">
        <v>49</v>
      </c>
      <c r="R328" s="1" t="s">
        <v>2033</v>
      </c>
      <c r="S328" s="1" t="s">
        <v>2034</v>
      </c>
      <c r="T328" s="9">
        <v>10</v>
      </c>
      <c r="U328" s="1">
        <f>ROUNDUP(1181.82*(1-$F$3),2)</f>
        <v>1181.82</v>
      </c>
      <c r="V328" s="1">
        <v>448</v>
      </c>
      <c r="Y328" s="1" t="s">
        <v>2035</v>
      </c>
      <c r="Z328" s="1" t="s">
        <v>53</v>
      </c>
      <c r="AA328" s="12">
        <v>42988</v>
      </c>
      <c r="AB328" s="1" t="s">
        <v>234</v>
      </c>
      <c r="AC328" s="1" t="s">
        <v>235</v>
      </c>
      <c r="AD328" s="1" t="s">
        <v>236</v>
      </c>
      <c r="AE328" s="1" t="s">
        <v>69</v>
      </c>
      <c r="AG328" s="1">
        <v>8229370</v>
      </c>
    </row>
    <row r="329" spans="1:33" s="1" customFormat="1" x14ac:dyDescent="0.25">
      <c r="C329" s="1" t="s">
        <v>2036</v>
      </c>
      <c r="D329" s="1" t="s">
        <v>2037</v>
      </c>
      <c r="E329" s="1" t="s">
        <v>2038</v>
      </c>
      <c r="F329" s="13" t="s">
        <v>6952</v>
      </c>
      <c r="G329" s="1" t="s">
        <v>1173</v>
      </c>
      <c r="H329" s="1" t="s">
        <v>160</v>
      </c>
      <c r="I329" s="1">
        <v>432</v>
      </c>
      <c r="J329" s="1" t="s">
        <v>46</v>
      </c>
      <c r="M329" s="1" t="s">
        <v>47</v>
      </c>
      <c r="N329" s="1" t="s">
        <v>48</v>
      </c>
      <c r="O329" s="9">
        <v>4</v>
      </c>
      <c r="P329" s="1">
        <f>ROUNDUP(1310*(1-$F$3),2)</f>
        <v>1310</v>
      </c>
      <c r="Q329" s="1" t="s">
        <v>49</v>
      </c>
      <c r="R329" s="1" t="s">
        <v>2039</v>
      </c>
      <c r="S329" s="1" t="s">
        <v>2040</v>
      </c>
      <c r="T329" s="9">
        <v>10</v>
      </c>
      <c r="U329" s="1">
        <f>ROUNDUP(1190.91*(1-$F$3),2)</f>
        <v>1190.9100000000001</v>
      </c>
      <c r="V329" s="1">
        <v>412</v>
      </c>
      <c r="Y329" s="1" t="s">
        <v>2041</v>
      </c>
      <c r="Z329" s="1" t="s">
        <v>53</v>
      </c>
      <c r="AA329" s="12">
        <v>45635</v>
      </c>
      <c r="AB329" s="1" t="s">
        <v>66</v>
      </c>
      <c r="AC329" s="1" t="s">
        <v>67</v>
      </c>
      <c r="AD329" s="1" t="s">
        <v>165</v>
      </c>
      <c r="AE329" s="1" t="s">
        <v>69</v>
      </c>
      <c r="AG329" s="1">
        <v>11578620</v>
      </c>
    </row>
    <row r="330" spans="1:33" s="1" customFormat="1" x14ac:dyDescent="0.25">
      <c r="C330" s="1" t="s">
        <v>2042</v>
      </c>
      <c r="D330" s="1" t="s">
        <v>2037</v>
      </c>
      <c r="E330" s="1" t="s">
        <v>2043</v>
      </c>
      <c r="F330" s="13" t="s">
        <v>6952</v>
      </c>
      <c r="G330" s="1" t="s">
        <v>2044</v>
      </c>
      <c r="H330" s="1" t="s">
        <v>160</v>
      </c>
      <c r="I330" s="1">
        <v>1158</v>
      </c>
      <c r="J330" s="1" t="s">
        <v>46</v>
      </c>
      <c r="M330" s="1" t="s">
        <v>47</v>
      </c>
      <c r="N330" s="1" t="s">
        <v>48</v>
      </c>
      <c r="O330" s="9"/>
      <c r="P330" s="1">
        <f>ROUNDUP(3210*(1-$F$3),2)</f>
        <v>3210</v>
      </c>
      <c r="Q330" s="1" t="s">
        <v>49</v>
      </c>
      <c r="R330" s="1" t="s">
        <v>2045</v>
      </c>
      <c r="S330" s="1" t="s">
        <v>2046</v>
      </c>
      <c r="T330" s="9">
        <v>10</v>
      </c>
      <c r="U330" s="1">
        <f>ROUNDUP(2918.18*(1-$F$3),2)</f>
        <v>2918.18</v>
      </c>
      <c r="V330" s="1">
        <v>1207</v>
      </c>
      <c r="Y330" s="1" t="s">
        <v>2047</v>
      </c>
      <c r="Z330" s="1" t="s">
        <v>53</v>
      </c>
      <c r="AA330" s="12">
        <v>45706</v>
      </c>
      <c r="AB330" s="1" t="s">
        <v>66</v>
      </c>
      <c r="AC330" s="1" t="s">
        <v>67</v>
      </c>
      <c r="AD330" s="1" t="s">
        <v>165</v>
      </c>
      <c r="AE330" s="1" t="s">
        <v>69</v>
      </c>
      <c r="AG330" s="1">
        <v>11663970</v>
      </c>
    </row>
    <row r="331" spans="1:33" s="1" customFormat="1" x14ac:dyDescent="0.25">
      <c r="C331" s="1" t="s">
        <v>2048</v>
      </c>
      <c r="D331" s="1" t="s">
        <v>2037</v>
      </c>
      <c r="E331" s="1" t="s">
        <v>2049</v>
      </c>
      <c r="F331" s="13" t="s">
        <v>6952</v>
      </c>
      <c r="G331" s="1" t="s">
        <v>2050</v>
      </c>
      <c r="H331" s="1" t="s">
        <v>160</v>
      </c>
      <c r="I331" s="1">
        <v>480</v>
      </c>
      <c r="J331" s="1" t="s">
        <v>46</v>
      </c>
      <c r="M331" s="1" t="s">
        <v>47</v>
      </c>
      <c r="N331" s="1" t="s">
        <v>48</v>
      </c>
      <c r="O331" s="9">
        <v>4</v>
      </c>
      <c r="P331" s="1">
        <f>ROUNDUP(1250*(1-$F$3),2)</f>
        <v>1250</v>
      </c>
      <c r="Q331" s="1" t="s">
        <v>49</v>
      </c>
      <c r="R331" s="1" t="s">
        <v>2051</v>
      </c>
      <c r="S331" s="1" t="s">
        <v>2052</v>
      </c>
      <c r="T331" s="9">
        <v>10</v>
      </c>
      <c r="U331" s="1">
        <f>ROUNDUP(1136.36*(1-$F$3),2)</f>
        <v>1136.3599999999999</v>
      </c>
      <c r="V331" s="1">
        <v>447</v>
      </c>
      <c r="Y331" s="1" t="s">
        <v>2053</v>
      </c>
      <c r="Z331" s="1" t="s">
        <v>53</v>
      </c>
      <c r="AA331" s="12">
        <v>45537</v>
      </c>
      <c r="AB331" s="1" t="s">
        <v>66</v>
      </c>
      <c r="AC331" s="1" t="s">
        <v>67</v>
      </c>
      <c r="AD331" s="1" t="s">
        <v>165</v>
      </c>
      <c r="AE331" s="1" t="s">
        <v>69</v>
      </c>
      <c r="AG331" s="1">
        <v>11436270</v>
      </c>
    </row>
    <row r="332" spans="1:33" s="1" customFormat="1" x14ac:dyDescent="0.25">
      <c r="C332" s="1" t="s">
        <v>2054</v>
      </c>
      <c r="D332" s="1" t="s">
        <v>2037</v>
      </c>
      <c r="E332" s="1" t="s">
        <v>2055</v>
      </c>
      <c r="F332" s="13" t="s">
        <v>6952</v>
      </c>
      <c r="G332" s="1" t="s">
        <v>2056</v>
      </c>
      <c r="H332" s="1" t="s">
        <v>160</v>
      </c>
      <c r="I332" s="1">
        <v>1440</v>
      </c>
      <c r="J332" s="1" t="s">
        <v>46</v>
      </c>
      <c r="M332" s="1" t="s">
        <v>47</v>
      </c>
      <c r="N332" s="1" t="s">
        <v>48</v>
      </c>
      <c r="O332" s="9"/>
      <c r="P332" s="1">
        <f>ROUNDUP(3190*(1-$F$3),2)</f>
        <v>3190</v>
      </c>
      <c r="Q332" s="1" t="s">
        <v>49</v>
      </c>
      <c r="R332" s="1" t="s">
        <v>2057</v>
      </c>
      <c r="S332" s="1" t="s">
        <v>2058</v>
      </c>
      <c r="T332" s="9">
        <v>10</v>
      </c>
      <c r="U332" s="1">
        <f>ROUNDUP(2900*(1-$F$3),2)</f>
        <v>2900</v>
      </c>
      <c r="V332" s="1">
        <v>1341</v>
      </c>
      <c r="Y332" s="1" t="s">
        <v>2059</v>
      </c>
      <c r="Z332" s="1" t="s">
        <v>53</v>
      </c>
      <c r="AA332" s="12">
        <v>45706</v>
      </c>
      <c r="AB332" s="1" t="s">
        <v>66</v>
      </c>
      <c r="AC332" s="1" t="s">
        <v>67</v>
      </c>
      <c r="AD332" s="1" t="s">
        <v>165</v>
      </c>
      <c r="AE332" s="1" t="s">
        <v>69</v>
      </c>
      <c r="AG332" s="1">
        <v>11664070</v>
      </c>
    </row>
    <row r="333" spans="1:33" s="1" customFormat="1" x14ac:dyDescent="0.25">
      <c r="C333" s="1" t="s">
        <v>2060</v>
      </c>
      <c r="D333" s="1" t="s">
        <v>2037</v>
      </c>
      <c r="E333" s="1" t="s">
        <v>2061</v>
      </c>
      <c r="F333" s="13" t="s">
        <v>6952</v>
      </c>
      <c r="G333" s="1" t="s">
        <v>2062</v>
      </c>
      <c r="H333" s="1" t="s">
        <v>160</v>
      </c>
      <c r="I333" s="1">
        <v>384</v>
      </c>
      <c r="J333" s="1" t="s">
        <v>46</v>
      </c>
      <c r="M333" s="1" t="s">
        <v>161</v>
      </c>
      <c r="N333" s="1" t="s">
        <v>48</v>
      </c>
      <c r="O333" s="9">
        <v>8</v>
      </c>
      <c r="P333" s="1">
        <f>ROUNDUP(1680*(1-$F$3),2)</f>
        <v>1680</v>
      </c>
      <c r="Q333" s="1" t="s">
        <v>49</v>
      </c>
      <c r="R333" s="1" t="s">
        <v>2063</v>
      </c>
      <c r="S333" s="1" t="s">
        <v>2064</v>
      </c>
      <c r="T333" s="9">
        <v>10</v>
      </c>
      <c r="U333" s="1">
        <f>ROUNDUP(1527.27*(1-$F$3),2)</f>
        <v>1527.27</v>
      </c>
      <c r="V333" s="1">
        <v>391</v>
      </c>
      <c r="Y333" s="1" t="s">
        <v>2065</v>
      </c>
      <c r="Z333" s="1" t="s">
        <v>53</v>
      </c>
      <c r="AA333" s="12">
        <v>45195</v>
      </c>
      <c r="AB333" s="1" t="s">
        <v>66</v>
      </c>
      <c r="AC333" s="1" t="s">
        <v>67</v>
      </c>
      <c r="AD333" s="1" t="s">
        <v>670</v>
      </c>
      <c r="AE333" s="1" t="s">
        <v>69</v>
      </c>
      <c r="AG333" s="1">
        <v>11067710</v>
      </c>
    </row>
    <row r="334" spans="1:33" s="1" customFormat="1" x14ac:dyDescent="0.25">
      <c r="C334" s="1" t="s">
        <v>2066</v>
      </c>
      <c r="D334" s="1" t="s">
        <v>2037</v>
      </c>
      <c r="E334" s="1" t="s">
        <v>2067</v>
      </c>
      <c r="F334" s="13" t="s">
        <v>6952</v>
      </c>
      <c r="G334" s="1" t="s">
        <v>2068</v>
      </c>
      <c r="H334" s="1" t="s">
        <v>160</v>
      </c>
      <c r="I334" s="1">
        <v>512</v>
      </c>
      <c r="J334" s="1" t="s">
        <v>46</v>
      </c>
      <c r="M334" s="1" t="s">
        <v>176</v>
      </c>
      <c r="N334" s="1" t="s">
        <v>48</v>
      </c>
      <c r="O334" s="9">
        <v>4</v>
      </c>
      <c r="P334" s="1">
        <f>ROUNDUP(1590*(1-$F$3),2)</f>
        <v>1590</v>
      </c>
      <c r="Q334" s="1" t="s">
        <v>49</v>
      </c>
      <c r="R334" s="1" t="s">
        <v>2069</v>
      </c>
      <c r="S334" s="1" t="s">
        <v>2070</v>
      </c>
      <c r="T334" s="9">
        <v>10</v>
      </c>
      <c r="U334" s="1">
        <f>ROUNDUP(1445.45*(1-$F$3),2)</f>
        <v>1445.45</v>
      </c>
      <c r="V334" s="1">
        <v>405</v>
      </c>
      <c r="Y334" s="1" t="s">
        <v>2071</v>
      </c>
      <c r="Z334" s="1" t="s">
        <v>53</v>
      </c>
      <c r="AA334" s="12">
        <v>45258</v>
      </c>
      <c r="AB334" s="1" t="s">
        <v>66</v>
      </c>
      <c r="AC334" s="1" t="s">
        <v>67</v>
      </c>
      <c r="AD334" s="1" t="s">
        <v>165</v>
      </c>
      <c r="AE334" s="1" t="s">
        <v>69</v>
      </c>
      <c r="AG334" s="1">
        <v>11145080</v>
      </c>
    </row>
    <row r="335" spans="1:33" s="1" customFormat="1" x14ac:dyDescent="0.25">
      <c r="C335" s="1" t="s">
        <v>2072</v>
      </c>
      <c r="D335" s="1" t="s">
        <v>2037</v>
      </c>
      <c r="E335" s="1" t="s">
        <v>2073</v>
      </c>
      <c r="F335" s="13" t="s">
        <v>6952</v>
      </c>
      <c r="G335" s="1" t="s">
        <v>2074</v>
      </c>
      <c r="H335" s="1" t="s">
        <v>160</v>
      </c>
      <c r="I335" s="1">
        <v>432</v>
      </c>
      <c r="J335" s="1" t="s">
        <v>46</v>
      </c>
      <c r="M335" s="1" t="s">
        <v>62</v>
      </c>
      <c r="N335" s="1" t="s">
        <v>48</v>
      </c>
      <c r="O335" s="9">
        <v>10</v>
      </c>
      <c r="P335" s="1">
        <f>ROUNDUP(1200*(1-$F$3),2)</f>
        <v>1200</v>
      </c>
      <c r="Q335" s="1" t="s">
        <v>49</v>
      </c>
      <c r="R335" s="1" t="s">
        <v>2075</v>
      </c>
      <c r="S335" s="1" t="s">
        <v>2076</v>
      </c>
      <c r="T335" s="9">
        <v>10</v>
      </c>
      <c r="U335" s="1">
        <f>ROUNDUP(1090.91*(1-$F$3),2)</f>
        <v>1090.9100000000001</v>
      </c>
      <c r="V335" s="1">
        <v>466</v>
      </c>
      <c r="Y335" s="1" t="s">
        <v>2077</v>
      </c>
      <c r="Z335" s="1" t="s">
        <v>53</v>
      </c>
      <c r="AA335" s="12">
        <v>45944</v>
      </c>
      <c r="AB335" s="1" t="s">
        <v>66</v>
      </c>
      <c r="AC335" s="1" t="s">
        <v>143</v>
      </c>
      <c r="AD335" s="1" t="s">
        <v>144</v>
      </c>
      <c r="AE335" s="1" t="s">
        <v>69</v>
      </c>
      <c r="AG335" s="1">
        <v>11909630</v>
      </c>
    </row>
    <row r="336" spans="1:33" s="1" customFormat="1" x14ac:dyDescent="0.25">
      <c r="C336" s="1" t="s">
        <v>2078</v>
      </c>
      <c r="D336" s="1" t="s">
        <v>2037</v>
      </c>
      <c r="E336" s="1" t="s">
        <v>2079</v>
      </c>
      <c r="F336" s="13" t="s">
        <v>6952</v>
      </c>
      <c r="G336" s="1" t="s">
        <v>1020</v>
      </c>
      <c r="H336" s="1" t="s">
        <v>160</v>
      </c>
      <c r="I336" s="1">
        <v>384</v>
      </c>
      <c r="J336" s="1" t="s">
        <v>46</v>
      </c>
      <c r="M336" s="1" t="s">
        <v>47</v>
      </c>
      <c r="N336" s="1" t="s">
        <v>48</v>
      </c>
      <c r="O336" s="9">
        <v>5</v>
      </c>
      <c r="P336" s="1">
        <f>ROUNDUP(1140*(1-$F$3),2)</f>
        <v>1140</v>
      </c>
      <c r="Q336" s="1" t="s">
        <v>49</v>
      </c>
      <c r="R336" s="1" t="s">
        <v>2080</v>
      </c>
      <c r="S336" s="1" t="s">
        <v>2081</v>
      </c>
      <c r="T336" s="9">
        <v>10</v>
      </c>
      <c r="U336" s="1">
        <f>ROUNDUP(1036.36*(1-$F$3),2)</f>
        <v>1036.3599999999999</v>
      </c>
      <c r="V336" s="1">
        <v>431</v>
      </c>
      <c r="Y336" s="1" t="s">
        <v>2082</v>
      </c>
      <c r="Z336" s="1" t="s">
        <v>53</v>
      </c>
      <c r="AA336" s="12">
        <v>45537</v>
      </c>
      <c r="AB336" s="1" t="s">
        <v>66</v>
      </c>
      <c r="AC336" s="1" t="s">
        <v>143</v>
      </c>
      <c r="AD336" s="1" t="s">
        <v>144</v>
      </c>
      <c r="AE336" s="1" t="s">
        <v>69</v>
      </c>
      <c r="AG336" s="1">
        <v>11436580</v>
      </c>
    </row>
    <row r="337" spans="3:33" s="1" customFormat="1" x14ac:dyDescent="0.25">
      <c r="C337" s="1" t="s">
        <v>2083</v>
      </c>
      <c r="D337" s="1" t="s">
        <v>2037</v>
      </c>
      <c r="E337" s="1" t="s">
        <v>2084</v>
      </c>
      <c r="F337" s="13" t="s">
        <v>6952</v>
      </c>
      <c r="G337" s="1" t="s">
        <v>2085</v>
      </c>
      <c r="H337" s="1" t="s">
        <v>160</v>
      </c>
      <c r="I337" s="1">
        <v>274</v>
      </c>
      <c r="J337" s="1" t="s">
        <v>46</v>
      </c>
      <c r="M337" s="1" t="s">
        <v>47</v>
      </c>
      <c r="N337" s="1" t="s">
        <v>48</v>
      </c>
      <c r="O337" s="9">
        <v>5</v>
      </c>
      <c r="P337" s="1">
        <f>ROUNDUP(1160*(1-$F$3),2)</f>
        <v>1160</v>
      </c>
      <c r="Q337" s="1" t="s">
        <v>49</v>
      </c>
      <c r="R337" s="1" t="s">
        <v>2086</v>
      </c>
      <c r="S337" s="1" t="s">
        <v>2087</v>
      </c>
      <c r="T337" s="9">
        <v>10</v>
      </c>
      <c r="U337" s="1">
        <f>ROUNDUP(1054.55*(1-$F$3),2)</f>
        <v>1054.55</v>
      </c>
      <c r="V337" s="1">
        <v>292</v>
      </c>
      <c r="Y337" s="1" t="s">
        <v>2088</v>
      </c>
      <c r="Z337" s="1" t="s">
        <v>53</v>
      </c>
      <c r="AA337" s="12">
        <v>44776</v>
      </c>
      <c r="AB337" s="1" t="s">
        <v>66</v>
      </c>
      <c r="AC337" s="1" t="s">
        <v>67</v>
      </c>
      <c r="AD337" s="1" t="s">
        <v>165</v>
      </c>
      <c r="AE337" s="1" t="s">
        <v>69</v>
      </c>
      <c r="AG337" s="1">
        <v>10536280</v>
      </c>
    </row>
    <row r="338" spans="3:33" s="1" customFormat="1" x14ac:dyDescent="0.25">
      <c r="C338" s="1" t="s">
        <v>2089</v>
      </c>
      <c r="D338" s="1" t="s">
        <v>2037</v>
      </c>
      <c r="E338" s="1" t="s">
        <v>1224</v>
      </c>
      <c r="F338" s="13" t="s">
        <v>6952</v>
      </c>
      <c r="G338" s="1" t="s">
        <v>1225</v>
      </c>
      <c r="H338" s="1" t="s">
        <v>160</v>
      </c>
      <c r="I338" s="1">
        <v>320</v>
      </c>
      <c r="J338" s="1" t="s">
        <v>46</v>
      </c>
      <c r="M338" s="1" t="s">
        <v>47</v>
      </c>
      <c r="N338" s="1" t="s">
        <v>48</v>
      </c>
      <c r="O338" s="9">
        <v>12</v>
      </c>
      <c r="P338" s="1">
        <f>ROUNDUP(960*(1-$F$3),2)</f>
        <v>960</v>
      </c>
      <c r="Q338" s="1" t="s">
        <v>49</v>
      </c>
      <c r="R338" s="1" t="s">
        <v>2090</v>
      </c>
      <c r="S338" s="1" t="s">
        <v>2091</v>
      </c>
      <c r="T338" s="9">
        <v>10</v>
      </c>
      <c r="U338" s="1">
        <f>ROUNDUP(872.73*(1-$F$3),2)</f>
        <v>872.73</v>
      </c>
      <c r="V338" s="1">
        <v>342</v>
      </c>
      <c r="Y338" s="1" t="s">
        <v>1228</v>
      </c>
      <c r="Z338" s="1" t="s">
        <v>53</v>
      </c>
      <c r="AA338" s="12">
        <v>45046</v>
      </c>
      <c r="AB338" s="1" t="s">
        <v>66</v>
      </c>
      <c r="AC338" s="1" t="s">
        <v>67</v>
      </c>
      <c r="AD338" s="1" t="s">
        <v>165</v>
      </c>
      <c r="AE338" s="1" t="s">
        <v>69</v>
      </c>
      <c r="AG338" s="1">
        <v>10881720</v>
      </c>
    </row>
    <row r="339" spans="3:33" s="1" customFormat="1" x14ac:dyDescent="0.25">
      <c r="C339" s="1" t="s">
        <v>2092</v>
      </c>
      <c r="D339" s="1" t="s">
        <v>2037</v>
      </c>
      <c r="E339" s="1" t="s">
        <v>2093</v>
      </c>
      <c r="F339" s="13" t="s">
        <v>6952</v>
      </c>
      <c r="G339" s="1" t="s">
        <v>2094</v>
      </c>
      <c r="H339" s="1" t="s">
        <v>160</v>
      </c>
      <c r="I339" s="1">
        <v>432</v>
      </c>
      <c r="J339" s="1" t="s">
        <v>46</v>
      </c>
      <c r="M339" s="1" t="s">
        <v>47</v>
      </c>
      <c r="N339" s="1" t="s">
        <v>48</v>
      </c>
      <c r="O339" s="9">
        <v>6</v>
      </c>
      <c r="P339" s="1">
        <f>ROUNDUP(1250*(1-$F$3),2)</f>
        <v>1250</v>
      </c>
      <c r="Q339" s="1" t="s">
        <v>49</v>
      </c>
      <c r="R339" s="1" t="s">
        <v>2095</v>
      </c>
      <c r="S339" s="1" t="s">
        <v>2096</v>
      </c>
      <c r="T339" s="9">
        <v>10</v>
      </c>
      <c r="U339" s="1">
        <f>ROUNDUP(1136.36*(1-$F$3),2)</f>
        <v>1136.3599999999999</v>
      </c>
      <c r="V339" s="1">
        <v>468</v>
      </c>
      <c r="Y339" s="1" t="s">
        <v>2097</v>
      </c>
      <c r="Z339" s="1" t="s">
        <v>53</v>
      </c>
      <c r="AA339" s="12">
        <v>45814</v>
      </c>
      <c r="AB339" s="1" t="s">
        <v>66</v>
      </c>
      <c r="AC339" s="1" t="s">
        <v>67</v>
      </c>
      <c r="AD339" s="1" t="s">
        <v>165</v>
      </c>
      <c r="AE339" s="1" t="s">
        <v>69</v>
      </c>
      <c r="AG339" s="1">
        <v>11774620</v>
      </c>
    </row>
    <row r="340" spans="3:33" s="1" customFormat="1" x14ac:dyDescent="0.25">
      <c r="C340" s="1" t="s">
        <v>2098</v>
      </c>
      <c r="D340" s="1" t="s">
        <v>2037</v>
      </c>
      <c r="E340" s="1" t="s">
        <v>2099</v>
      </c>
      <c r="F340" s="13" t="s">
        <v>6952</v>
      </c>
      <c r="G340" s="1" t="s">
        <v>2100</v>
      </c>
      <c r="H340" s="1" t="s">
        <v>160</v>
      </c>
      <c r="I340" s="1">
        <v>858</v>
      </c>
      <c r="J340" s="1" t="s">
        <v>46</v>
      </c>
      <c r="M340" s="1" t="s">
        <v>47</v>
      </c>
      <c r="N340" s="1" t="s">
        <v>48</v>
      </c>
      <c r="O340" s="9"/>
      <c r="P340" s="1">
        <f>ROUNDUP(2730*(1-$F$3),2)</f>
        <v>2730</v>
      </c>
      <c r="Q340" s="1" t="s">
        <v>49</v>
      </c>
      <c r="R340" s="1" t="s">
        <v>2101</v>
      </c>
      <c r="S340" s="1" t="s">
        <v>2102</v>
      </c>
      <c r="T340" s="9">
        <v>10</v>
      </c>
      <c r="U340" s="1">
        <f>ROUNDUP(2481.82*(1-$F$3),2)</f>
        <v>2481.8200000000002</v>
      </c>
      <c r="V340" s="1">
        <v>1078</v>
      </c>
      <c r="Y340" s="1" t="s">
        <v>2103</v>
      </c>
      <c r="Z340" s="1" t="s">
        <v>53</v>
      </c>
      <c r="AA340" s="12">
        <v>45706</v>
      </c>
      <c r="AB340" s="1" t="s">
        <v>66</v>
      </c>
      <c r="AC340" s="1" t="s">
        <v>67</v>
      </c>
      <c r="AD340" s="1" t="s">
        <v>165</v>
      </c>
      <c r="AE340" s="1" t="s">
        <v>69</v>
      </c>
      <c r="AG340" s="1">
        <v>11664340</v>
      </c>
    </row>
    <row r="341" spans="3:33" s="1" customFormat="1" x14ac:dyDescent="0.25">
      <c r="C341" s="1" t="s">
        <v>2104</v>
      </c>
      <c r="D341" s="1" t="s">
        <v>2037</v>
      </c>
      <c r="E341" s="1" t="s">
        <v>2105</v>
      </c>
      <c r="F341" s="13" t="s">
        <v>6952</v>
      </c>
      <c r="G341" s="1" t="s">
        <v>2106</v>
      </c>
      <c r="H341" s="1" t="s">
        <v>160</v>
      </c>
      <c r="I341" s="1">
        <v>448</v>
      </c>
      <c r="J341" s="1" t="s">
        <v>46</v>
      </c>
      <c r="M341" s="1" t="s">
        <v>47</v>
      </c>
      <c r="N341" s="1" t="s">
        <v>48</v>
      </c>
      <c r="O341" s="9">
        <v>4</v>
      </c>
      <c r="P341" s="1">
        <f>ROUNDUP(1250*(1-$F$3),2)</f>
        <v>1250</v>
      </c>
      <c r="Q341" s="1" t="s">
        <v>49</v>
      </c>
      <c r="R341" s="1" t="s">
        <v>2107</v>
      </c>
      <c r="S341" s="1" t="s">
        <v>2108</v>
      </c>
      <c r="T341" s="9">
        <v>22</v>
      </c>
      <c r="U341" s="1">
        <f>ROUNDUP(1024.59*(1-$F$3),2)</f>
        <v>1024.5899999999999</v>
      </c>
      <c r="V341" s="1">
        <v>425</v>
      </c>
      <c r="Y341" s="1" t="s">
        <v>2109</v>
      </c>
      <c r="Z341" s="1" t="s">
        <v>76</v>
      </c>
      <c r="AA341" s="12">
        <v>45670</v>
      </c>
      <c r="AB341" s="1" t="s">
        <v>66</v>
      </c>
      <c r="AC341" s="1" t="s">
        <v>67</v>
      </c>
      <c r="AD341" s="1" t="s">
        <v>165</v>
      </c>
      <c r="AE341" s="1" t="s">
        <v>69</v>
      </c>
      <c r="AG341" s="1">
        <v>11610340</v>
      </c>
    </row>
    <row r="342" spans="3:33" s="1" customFormat="1" x14ac:dyDescent="0.25">
      <c r="C342" s="1" t="s">
        <v>2110</v>
      </c>
      <c r="D342" s="1" t="s">
        <v>2037</v>
      </c>
      <c r="E342" s="1" t="s">
        <v>2111</v>
      </c>
      <c r="F342" s="13" t="s">
        <v>6952</v>
      </c>
      <c r="G342" s="1" t="s">
        <v>2112</v>
      </c>
      <c r="H342" s="1" t="s">
        <v>160</v>
      </c>
      <c r="I342" s="1">
        <v>464</v>
      </c>
      <c r="J342" s="1" t="s">
        <v>46</v>
      </c>
      <c r="M342" s="1" t="s">
        <v>176</v>
      </c>
      <c r="N342" s="1" t="s">
        <v>48</v>
      </c>
      <c r="O342" s="9">
        <v>8</v>
      </c>
      <c r="P342" s="1">
        <f>ROUNDUP(1120*(1-$F$3),2)</f>
        <v>1120</v>
      </c>
      <c r="Q342" s="1" t="s">
        <v>49</v>
      </c>
      <c r="R342" s="1" t="s">
        <v>2113</v>
      </c>
      <c r="S342" s="1" t="s">
        <v>2114</v>
      </c>
      <c r="T342" s="9">
        <v>10</v>
      </c>
      <c r="U342" s="1">
        <f>ROUNDUP(1018.18*(1-$F$3),2)</f>
        <v>1018.18</v>
      </c>
      <c r="V342" s="1">
        <v>376</v>
      </c>
      <c r="Y342" s="1" t="s">
        <v>2115</v>
      </c>
      <c r="Z342" s="1" t="s">
        <v>53</v>
      </c>
      <c r="AA342" s="12">
        <v>45440</v>
      </c>
      <c r="AB342" s="1" t="s">
        <v>66</v>
      </c>
      <c r="AC342" s="1" t="s">
        <v>67</v>
      </c>
      <c r="AD342" s="1" t="s">
        <v>165</v>
      </c>
      <c r="AE342" s="1" t="s">
        <v>69</v>
      </c>
      <c r="AG342" s="1">
        <v>11290130</v>
      </c>
    </row>
    <row r="343" spans="3:33" s="1" customFormat="1" x14ac:dyDescent="0.25">
      <c r="C343" s="1" t="s">
        <v>2116</v>
      </c>
      <c r="D343" s="1" t="s">
        <v>2037</v>
      </c>
      <c r="E343" s="1" t="s">
        <v>2117</v>
      </c>
      <c r="F343" s="13" t="s">
        <v>6952</v>
      </c>
      <c r="G343" s="1" t="s">
        <v>2106</v>
      </c>
      <c r="H343" s="1" t="s">
        <v>160</v>
      </c>
      <c r="I343" s="1">
        <v>400</v>
      </c>
      <c r="J343" s="1" t="s">
        <v>46</v>
      </c>
      <c r="M343" s="1" t="s">
        <v>161</v>
      </c>
      <c r="N343" s="1" t="s">
        <v>48</v>
      </c>
      <c r="O343" s="9">
        <v>8</v>
      </c>
      <c r="P343" s="1">
        <f>ROUNDUP(1150*(1-$F$3),2)</f>
        <v>1150</v>
      </c>
      <c r="Q343" s="1" t="s">
        <v>49</v>
      </c>
      <c r="R343" s="1" t="s">
        <v>2118</v>
      </c>
      <c r="S343" s="1" t="s">
        <v>2119</v>
      </c>
      <c r="T343" s="9">
        <v>10</v>
      </c>
      <c r="U343" s="1">
        <f>ROUNDUP(1045.45*(1-$F$3),2)</f>
        <v>1045.45</v>
      </c>
      <c r="V343" s="1">
        <v>417</v>
      </c>
      <c r="Y343" s="1" t="s">
        <v>2120</v>
      </c>
      <c r="Z343" s="1" t="s">
        <v>53</v>
      </c>
      <c r="AA343" s="12">
        <v>45134</v>
      </c>
      <c r="AB343" s="1" t="s">
        <v>66</v>
      </c>
      <c r="AC343" s="1" t="s">
        <v>67</v>
      </c>
      <c r="AD343" s="1" t="s">
        <v>165</v>
      </c>
      <c r="AE343" s="1" t="s">
        <v>69</v>
      </c>
      <c r="AG343" s="1">
        <v>10994690</v>
      </c>
    </row>
    <row r="344" spans="3:33" s="1" customFormat="1" x14ac:dyDescent="0.25">
      <c r="C344" s="1" t="s">
        <v>2121</v>
      </c>
      <c r="D344" s="1" t="s">
        <v>2037</v>
      </c>
      <c r="E344" s="1" t="s">
        <v>2122</v>
      </c>
      <c r="F344" s="13" t="s">
        <v>6952</v>
      </c>
      <c r="G344" s="1" t="s">
        <v>2123</v>
      </c>
      <c r="H344" s="1" t="s">
        <v>160</v>
      </c>
      <c r="I344" s="1">
        <v>560</v>
      </c>
      <c r="J344" s="1" t="s">
        <v>46</v>
      </c>
      <c r="M344" s="1" t="s">
        <v>47</v>
      </c>
      <c r="N344" s="1" t="s">
        <v>48</v>
      </c>
      <c r="O344" s="9">
        <v>5</v>
      </c>
      <c r="P344" s="1">
        <f>ROUNDUP(1560*(1-$F$3),2)</f>
        <v>1560</v>
      </c>
      <c r="Q344" s="1" t="s">
        <v>49</v>
      </c>
      <c r="R344" s="1" t="s">
        <v>2124</v>
      </c>
      <c r="S344" s="1" t="s">
        <v>2125</v>
      </c>
      <c r="T344" s="9">
        <v>10</v>
      </c>
      <c r="U344" s="1">
        <f>ROUNDUP(1418.18*(1-$F$3),2)</f>
        <v>1418.18</v>
      </c>
      <c r="V344" s="1">
        <v>573</v>
      </c>
      <c r="Y344" s="1" t="s">
        <v>2126</v>
      </c>
      <c r="Z344" s="1" t="s">
        <v>53</v>
      </c>
      <c r="AA344" s="12">
        <v>45867</v>
      </c>
      <c r="AB344" s="1" t="s">
        <v>66</v>
      </c>
      <c r="AC344" s="1" t="s">
        <v>143</v>
      </c>
      <c r="AD344" s="1" t="s">
        <v>847</v>
      </c>
      <c r="AE344" s="1" t="s">
        <v>69</v>
      </c>
      <c r="AG344" s="1">
        <v>11821600</v>
      </c>
    </row>
    <row r="345" spans="3:33" s="1" customFormat="1" x14ac:dyDescent="0.25">
      <c r="C345" s="1" t="s">
        <v>2127</v>
      </c>
      <c r="D345" s="1" t="s">
        <v>2037</v>
      </c>
      <c r="E345" s="1" t="s">
        <v>2128</v>
      </c>
      <c r="F345" s="13" t="s">
        <v>6952</v>
      </c>
      <c r="G345" s="1" t="s">
        <v>2062</v>
      </c>
      <c r="H345" s="1" t="s">
        <v>160</v>
      </c>
      <c r="I345" s="1">
        <v>400</v>
      </c>
      <c r="J345" s="1" t="s">
        <v>46</v>
      </c>
      <c r="M345" s="1" t="s">
        <v>161</v>
      </c>
      <c r="N345" s="1" t="s">
        <v>48</v>
      </c>
      <c r="O345" s="9">
        <v>8</v>
      </c>
      <c r="P345" s="1">
        <f>ROUNDUP(1020*(1-$F$3),2)</f>
        <v>1020</v>
      </c>
      <c r="Q345" s="1" t="s">
        <v>49</v>
      </c>
      <c r="R345" s="1" t="s">
        <v>2129</v>
      </c>
      <c r="S345" s="1" t="s">
        <v>2130</v>
      </c>
      <c r="T345" s="9">
        <v>10</v>
      </c>
      <c r="U345" s="1">
        <f>ROUNDUP(927.27*(1-$F$3),2)</f>
        <v>927.27</v>
      </c>
      <c r="V345" s="1">
        <v>414</v>
      </c>
      <c r="Y345" s="1" t="s">
        <v>2131</v>
      </c>
      <c r="Z345" s="1" t="s">
        <v>53</v>
      </c>
      <c r="AA345" s="12">
        <v>45134</v>
      </c>
      <c r="AB345" s="1" t="s">
        <v>66</v>
      </c>
      <c r="AC345" s="1" t="s">
        <v>67</v>
      </c>
      <c r="AD345" s="1" t="s">
        <v>165</v>
      </c>
      <c r="AE345" s="1" t="s">
        <v>69</v>
      </c>
      <c r="AG345" s="1">
        <v>10994710</v>
      </c>
    </row>
    <row r="346" spans="3:33" s="1" customFormat="1" x14ac:dyDescent="0.25">
      <c r="C346" s="1" t="s">
        <v>2132</v>
      </c>
      <c r="D346" s="1" t="s">
        <v>2037</v>
      </c>
      <c r="E346" s="1" t="s">
        <v>2133</v>
      </c>
      <c r="F346" s="13" t="s">
        <v>6952</v>
      </c>
      <c r="G346" s="1" t="s">
        <v>1173</v>
      </c>
      <c r="H346" s="1" t="s">
        <v>160</v>
      </c>
      <c r="I346" s="1">
        <v>400</v>
      </c>
      <c r="J346" s="1" t="s">
        <v>46</v>
      </c>
      <c r="M346" s="1" t="s">
        <v>47</v>
      </c>
      <c r="N346" s="1" t="s">
        <v>48</v>
      </c>
      <c r="O346" s="9">
        <v>6</v>
      </c>
      <c r="P346" s="1">
        <f>ROUNDUP(1370*(1-$F$3),2)</f>
        <v>1370</v>
      </c>
      <c r="Q346" s="1" t="s">
        <v>49</v>
      </c>
      <c r="R346" s="1" t="s">
        <v>2134</v>
      </c>
      <c r="S346" s="1" t="s">
        <v>2135</v>
      </c>
      <c r="T346" s="9">
        <v>10</v>
      </c>
      <c r="U346" s="1">
        <f>ROUNDUP(1245.45*(1-$F$3),2)</f>
        <v>1245.45</v>
      </c>
      <c r="V346" s="1">
        <v>436</v>
      </c>
      <c r="Y346" s="1" t="s">
        <v>2136</v>
      </c>
      <c r="Z346" s="1" t="s">
        <v>53</v>
      </c>
      <c r="AA346" s="12">
        <v>45561</v>
      </c>
      <c r="AB346" s="1" t="s">
        <v>66</v>
      </c>
      <c r="AC346" s="1" t="s">
        <v>67</v>
      </c>
      <c r="AD346" s="1" t="s">
        <v>165</v>
      </c>
      <c r="AE346" s="1" t="s">
        <v>69</v>
      </c>
      <c r="AG346" s="1">
        <v>11476240</v>
      </c>
    </row>
    <row r="347" spans="3:33" s="1" customFormat="1" x14ac:dyDescent="0.25">
      <c r="C347" s="1" t="s">
        <v>2137</v>
      </c>
      <c r="D347" s="1" t="s">
        <v>2037</v>
      </c>
      <c r="E347" s="1" t="s">
        <v>1195</v>
      </c>
      <c r="F347" s="13" t="s">
        <v>6952</v>
      </c>
      <c r="G347" s="1" t="s">
        <v>1196</v>
      </c>
      <c r="H347" s="1" t="s">
        <v>160</v>
      </c>
      <c r="I347" s="1">
        <v>544</v>
      </c>
      <c r="J347" s="1" t="s">
        <v>46</v>
      </c>
      <c r="M347" s="1" t="s">
        <v>47</v>
      </c>
      <c r="N347" s="1" t="s">
        <v>48</v>
      </c>
      <c r="O347" s="9">
        <v>8</v>
      </c>
      <c r="P347" s="1">
        <f>ROUNDUP(1040*(1-$F$3),2)</f>
        <v>1040</v>
      </c>
      <c r="Q347" s="1" t="s">
        <v>49</v>
      </c>
      <c r="R347" s="1" t="s">
        <v>2138</v>
      </c>
      <c r="S347" s="1" t="s">
        <v>2139</v>
      </c>
      <c r="T347" s="9">
        <v>10</v>
      </c>
      <c r="U347" s="1">
        <f>ROUNDUP(945.45*(1-$F$3),2)</f>
        <v>945.45</v>
      </c>
      <c r="V347" s="1">
        <v>418</v>
      </c>
      <c r="Y347" s="1" t="s">
        <v>1199</v>
      </c>
      <c r="Z347" s="1" t="s">
        <v>53</v>
      </c>
      <c r="AA347" s="12">
        <v>44824</v>
      </c>
      <c r="AB347" s="1" t="s">
        <v>66</v>
      </c>
      <c r="AC347" s="1" t="s">
        <v>67</v>
      </c>
      <c r="AD347" s="1" t="s">
        <v>165</v>
      </c>
      <c r="AE347" s="1" t="s">
        <v>69</v>
      </c>
      <c r="AG347" s="1">
        <v>10535500</v>
      </c>
    </row>
    <row r="348" spans="3:33" s="1" customFormat="1" x14ac:dyDescent="0.25">
      <c r="C348" s="1" t="s">
        <v>2140</v>
      </c>
      <c r="D348" s="1" t="s">
        <v>2037</v>
      </c>
      <c r="E348" s="1" t="s">
        <v>2141</v>
      </c>
      <c r="F348" s="13" t="s">
        <v>6952</v>
      </c>
      <c r="G348" s="1" t="s">
        <v>2062</v>
      </c>
      <c r="H348" s="1" t="s">
        <v>160</v>
      </c>
      <c r="I348" s="1">
        <v>528</v>
      </c>
      <c r="J348" s="1" t="s">
        <v>46</v>
      </c>
      <c r="M348" s="1" t="s">
        <v>161</v>
      </c>
      <c r="N348" s="1" t="s">
        <v>48</v>
      </c>
      <c r="O348" s="9">
        <v>6</v>
      </c>
      <c r="P348" s="1">
        <f>ROUNDUP(1680*(1-$F$3),2)</f>
        <v>1680</v>
      </c>
      <c r="Q348" s="1" t="s">
        <v>49</v>
      </c>
      <c r="R348" s="1" t="s">
        <v>2142</v>
      </c>
      <c r="S348" s="1" t="s">
        <v>2143</v>
      </c>
      <c r="T348" s="9">
        <v>10</v>
      </c>
      <c r="U348" s="1">
        <f>ROUNDUP(1527.27*(1-$F$3),2)</f>
        <v>1527.27</v>
      </c>
      <c r="V348" s="1">
        <v>507</v>
      </c>
      <c r="Y348" s="1" t="s">
        <v>2144</v>
      </c>
      <c r="Z348" s="1" t="s">
        <v>53</v>
      </c>
      <c r="AA348" s="12">
        <v>45195</v>
      </c>
      <c r="AB348" s="1" t="s">
        <v>66</v>
      </c>
      <c r="AC348" s="1" t="s">
        <v>67</v>
      </c>
      <c r="AD348" s="1" t="s">
        <v>670</v>
      </c>
      <c r="AE348" s="1" t="s">
        <v>69</v>
      </c>
      <c r="AG348" s="1">
        <v>11067720</v>
      </c>
    </row>
    <row r="349" spans="3:33" s="1" customFormat="1" x14ac:dyDescent="0.25">
      <c r="C349" s="1" t="s">
        <v>2145</v>
      </c>
      <c r="D349" s="1" t="s">
        <v>2037</v>
      </c>
      <c r="E349" s="1" t="s">
        <v>2146</v>
      </c>
      <c r="F349" s="13" t="s">
        <v>6952</v>
      </c>
      <c r="G349" s="1" t="s">
        <v>2147</v>
      </c>
      <c r="H349" s="1" t="s">
        <v>160</v>
      </c>
      <c r="I349" s="1">
        <v>1376</v>
      </c>
      <c r="J349" s="1" t="s">
        <v>46</v>
      </c>
      <c r="M349" s="1" t="s">
        <v>47</v>
      </c>
      <c r="N349" s="1" t="s">
        <v>48</v>
      </c>
      <c r="O349" s="9"/>
      <c r="P349" s="1">
        <f>ROUNDUP(3760*(1-$F$3),2)</f>
        <v>3760</v>
      </c>
      <c r="Q349" s="1" t="s">
        <v>49</v>
      </c>
      <c r="R349" s="1" t="s">
        <v>2148</v>
      </c>
      <c r="S349" s="1" t="s">
        <v>2149</v>
      </c>
      <c r="T349" s="9">
        <v>22</v>
      </c>
      <c r="U349" s="1">
        <f>ROUNDUP(3081.97*(1-$F$3),2)</f>
        <v>3081.97</v>
      </c>
      <c r="V349" s="1">
        <v>1368</v>
      </c>
      <c r="Y349" s="1" t="s">
        <v>2150</v>
      </c>
      <c r="Z349" s="1" t="s">
        <v>76</v>
      </c>
      <c r="AA349" s="12">
        <v>45706</v>
      </c>
      <c r="AB349" s="1" t="s">
        <v>66</v>
      </c>
      <c r="AC349" s="1" t="s">
        <v>67</v>
      </c>
      <c r="AD349" s="1" t="s">
        <v>165</v>
      </c>
      <c r="AE349" s="1" t="s">
        <v>69</v>
      </c>
      <c r="AG349" s="1">
        <v>11664050</v>
      </c>
    </row>
    <row r="350" spans="3:33" s="1" customFormat="1" x14ac:dyDescent="0.25">
      <c r="C350" s="1" t="s">
        <v>2151</v>
      </c>
      <c r="D350" s="1" t="s">
        <v>2037</v>
      </c>
      <c r="E350" s="1" t="s">
        <v>2152</v>
      </c>
      <c r="F350" s="13" t="s">
        <v>6952</v>
      </c>
      <c r="G350" s="1" t="s">
        <v>2153</v>
      </c>
      <c r="H350" s="1" t="s">
        <v>160</v>
      </c>
      <c r="I350" s="1">
        <v>304</v>
      </c>
      <c r="J350" s="1" t="s">
        <v>46</v>
      </c>
      <c r="M350" s="1" t="s">
        <v>47</v>
      </c>
      <c r="N350" s="1" t="s">
        <v>48</v>
      </c>
      <c r="O350" s="9">
        <v>5</v>
      </c>
      <c r="P350" s="1">
        <f>ROUNDUP(1270*(1-$F$3),2)</f>
        <v>1270</v>
      </c>
      <c r="Q350" s="1" t="s">
        <v>49</v>
      </c>
      <c r="R350" s="1" t="s">
        <v>2154</v>
      </c>
      <c r="S350" s="1" t="s">
        <v>2155</v>
      </c>
      <c r="T350" s="9">
        <v>10</v>
      </c>
      <c r="U350" s="1">
        <f>ROUNDUP(1154.55*(1-$F$3),2)</f>
        <v>1154.55</v>
      </c>
      <c r="V350" s="1">
        <v>316</v>
      </c>
      <c r="Y350" s="1" t="s">
        <v>2156</v>
      </c>
      <c r="Z350" s="1" t="s">
        <v>53</v>
      </c>
      <c r="AA350" s="12">
        <v>44727</v>
      </c>
      <c r="AB350" s="1" t="s">
        <v>66</v>
      </c>
      <c r="AC350" s="1" t="s">
        <v>67</v>
      </c>
      <c r="AD350" s="1" t="s">
        <v>165</v>
      </c>
      <c r="AE350" s="1" t="s">
        <v>69</v>
      </c>
      <c r="AG350" s="1">
        <v>10488810</v>
      </c>
    </row>
    <row r="351" spans="3:33" s="1" customFormat="1" x14ac:dyDescent="0.25">
      <c r="C351" s="1" t="s">
        <v>2157</v>
      </c>
      <c r="D351" s="1" t="s">
        <v>2037</v>
      </c>
      <c r="E351" s="1" t="s">
        <v>2158</v>
      </c>
      <c r="F351" s="13" t="s">
        <v>6952</v>
      </c>
      <c r="G351" s="1" t="s">
        <v>2159</v>
      </c>
      <c r="H351" s="1" t="s">
        <v>160</v>
      </c>
      <c r="I351" s="1">
        <v>850</v>
      </c>
      <c r="J351" s="1" t="s">
        <v>46</v>
      </c>
      <c r="M351" s="1" t="s">
        <v>176</v>
      </c>
      <c r="N351" s="1" t="s">
        <v>48</v>
      </c>
      <c r="O351" s="9"/>
      <c r="P351" s="1">
        <f>ROUNDUP(2880*(1-$F$3),2)</f>
        <v>2880</v>
      </c>
      <c r="Q351" s="1" t="s">
        <v>49</v>
      </c>
      <c r="R351" s="1" t="s">
        <v>2160</v>
      </c>
      <c r="S351" s="1" t="s">
        <v>2161</v>
      </c>
      <c r="T351" s="9">
        <v>10</v>
      </c>
      <c r="U351" s="1">
        <f>ROUNDUP(2618.18*(1-$F$3),2)</f>
        <v>2618.1799999999998</v>
      </c>
      <c r="V351" s="1">
        <v>1071</v>
      </c>
      <c r="Y351" s="1" t="s">
        <v>2162</v>
      </c>
      <c r="Z351" s="1" t="s">
        <v>53</v>
      </c>
      <c r="AA351" s="12">
        <v>45706</v>
      </c>
      <c r="AB351" s="1" t="s">
        <v>66</v>
      </c>
      <c r="AC351" s="1" t="s">
        <v>67</v>
      </c>
      <c r="AD351" s="1" t="s">
        <v>165</v>
      </c>
      <c r="AE351" s="1" t="s">
        <v>69</v>
      </c>
      <c r="AG351" s="1">
        <v>11664160</v>
      </c>
    </row>
    <row r="352" spans="3:33" s="1" customFormat="1" x14ac:dyDescent="0.25">
      <c r="C352" s="1" t="s">
        <v>2163</v>
      </c>
      <c r="D352" s="1" t="s">
        <v>2037</v>
      </c>
      <c r="E352" s="1" t="s">
        <v>2164</v>
      </c>
      <c r="F352" s="13" t="s">
        <v>6952</v>
      </c>
      <c r="G352" s="1" t="s">
        <v>2062</v>
      </c>
      <c r="H352" s="1" t="s">
        <v>160</v>
      </c>
      <c r="I352" s="1">
        <v>416</v>
      </c>
      <c r="J352" s="1" t="s">
        <v>46</v>
      </c>
      <c r="M352" s="1" t="s">
        <v>161</v>
      </c>
      <c r="N352" s="1" t="s">
        <v>48</v>
      </c>
      <c r="O352" s="9">
        <v>8</v>
      </c>
      <c r="P352" s="1">
        <f>ROUNDUP(1280*(1-$F$3),2)</f>
        <v>1280</v>
      </c>
      <c r="Q352" s="1" t="s">
        <v>49</v>
      </c>
      <c r="R352" s="1" t="s">
        <v>2165</v>
      </c>
      <c r="S352" s="1" t="s">
        <v>2166</v>
      </c>
      <c r="T352" s="9">
        <v>10</v>
      </c>
      <c r="U352" s="1">
        <f>ROUNDUP(1163.64*(1-$F$3),2)</f>
        <v>1163.6400000000001</v>
      </c>
      <c r="V352" s="1">
        <v>427</v>
      </c>
      <c r="Y352" s="1" t="s">
        <v>2167</v>
      </c>
      <c r="Z352" s="1" t="s">
        <v>53</v>
      </c>
      <c r="AA352" s="12">
        <v>45134</v>
      </c>
      <c r="AB352" s="1" t="s">
        <v>66</v>
      </c>
      <c r="AC352" s="1" t="s">
        <v>67</v>
      </c>
      <c r="AD352" s="1" t="s">
        <v>165</v>
      </c>
      <c r="AE352" s="1" t="s">
        <v>69</v>
      </c>
      <c r="AG352" s="1">
        <v>10994700</v>
      </c>
    </row>
    <row r="353" spans="3:33" s="1" customFormat="1" x14ac:dyDescent="0.25">
      <c r="C353" s="1" t="s">
        <v>2168</v>
      </c>
      <c r="D353" s="1" t="s">
        <v>2037</v>
      </c>
      <c r="E353" s="1" t="s">
        <v>2169</v>
      </c>
      <c r="F353" s="13" t="s">
        <v>6952</v>
      </c>
      <c r="G353" s="1" t="s">
        <v>2170</v>
      </c>
      <c r="H353" s="1" t="s">
        <v>160</v>
      </c>
      <c r="I353" s="1">
        <v>480</v>
      </c>
      <c r="J353" s="1" t="s">
        <v>46</v>
      </c>
      <c r="M353" s="1" t="s">
        <v>62</v>
      </c>
      <c r="N353" s="1" t="s">
        <v>48</v>
      </c>
      <c r="O353" s="9">
        <v>10</v>
      </c>
      <c r="P353" s="1">
        <f>ROUNDUP(1300*(1-$F$3),2)</f>
        <v>1300</v>
      </c>
      <c r="Q353" s="1" t="s">
        <v>49</v>
      </c>
      <c r="R353" s="1" t="s">
        <v>2171</v>
      </c>
      <c r="S353" s="1" t="s">
        <v>2172</v>
      </c>
      <c r="T353" s="9">
        <v>10</v>
      </c>
      <c r="U353" s="1">
        <f>ROUNDUP(1181.82*(1-$F$3),2)</f>
        <v>1181.82</v>
      </c>
      <c r="V353" s="1">
        <v>513</v>
      </c>
      <c r="Y353" s="1" t="s">
        <v>2173</v>
      </c>
      <c r="Z353" s="1" t="s">
        <v>53</v>
      </c>
      <c r="AA353" s="12">
        <v>45888</v>
      </c>
      <c r="AB353" s="1" t="s">
        <v>66</v>
      </c>
      <c r="AC353" s="1" t="s">
        <v>67</v>
      </c>
      <c r="AD353" s="1" t="s">
        <v>165</v>
      </c>
      <c r="AE353" s="1" t="s">
        <v>69</v>
      </c>
      <c r="AG353" s="1">
        <v>11844280</v>
      </c>
    </row>
    <row r="354" spans="3:33" s="1" customFormat="1" x14ac:dyDescent="0.25">
      <c r="C354" s="1" t="s">
        <v>2174</v>
      </c>
      <c r="D354" s="1" t="s">
        <v>2037</v>
      </c>
      <c r="E354" s="1" t="s">
        <v>2175</v>
      </c>
      <c r="F354" s="13" t="s">
        <v>6952</v>
      </c>
      <c r="G354" s="1" t="s">
        <v>2176</v>
      </c>
      <c r="H354" s="1" t="s">
        <v>160</v>
      </c>
      <c r="I354" s="1">
        <v>464</v>
      </c>
      <c r="J354" s="1" t="s">
        <v>46</v>
      </c>
      <c r="M354" s="1" t="s">
        <v>47</v>
      </c>
      <c r="N354" s="1" t="s">
        <v>48</v>
      </c>
      <c r="O354" s="9">
        <v>3</v>
      </c>
      <c r="P354" s="1">
        <f>ROUNDUP(1250*(1-$F$3),2)</f>
        <v>1250</v>
      </c>
      <c r="Q354" s="1" t="s">
        <v>49</v>
      </c>
      <c r="R354" s="1" t="s">
        <v>2177</v>
      </c>
      <c r="S354" s="1" t="s">
        <v>2178</v>
      </c>
      <c r="T354" s="9">
        <v>10</v>
      </c>
      <c r="U354" s="1">
        <f>ROUNDUP(1136.36*(1-$F$3),2)</f>
        <v>1136.3599999999999</v>
      </c>
      <c r="V354" s="1">
        <v>441</v>
      </c>
      <c r="Y354" s="1" t="s">
        <v>2179</v>
      </c>
      <c r="Z354" s="1" t="s">
        <v>53</v>
      </c>
      <c r="AA354" s="12">
        <v>45670</v>
      </c>
      <c r="AB354" s="1" t="s">
        <v>66</v>
      </c>
      <c r="AC354" s="1" t="s">
        <v>67</v>
      </c>
      <c r="AD354" s="1" t="s">
        <v>165</v>
      </c>
      <c r="AE354" s="1" t="s">
        <v>69</v>
      </c>
      <c r="AG354" s="1">
        <v>11612830</v>
      </c>
    </row>
    <row r="355" spans="3:33" s="1" customFormat="1" x14ac:dyDescent="0.25">
      <c r="C355" s="1" t="s">
        <v>2180</v>
      </c>
      <c r="D355" s="1" t="s">
        <v>2037</v>
      </c>
      <c r="E355" s="1" t="s">
        <v>2181</v>
      </c>
      <c r="F355" s="13" t="s">
        <v>6952</v>
      </c>
      <c r="G355" s="1" t="s">
        <v>1173</v>
      </c>
      <c r="H355" s="1" t="s">
        <v>160</v>
      </c>
      <c r="I355" s="1">
        <v>448</v>
      </c>
      <c r="J355" s="1" t="s">
        <v>46</v>
      </c>
      <c r="M355" s="1" t="s">
        <v>47</v>
      </c>
      <c r="N355" s="1" t="s">
        <v>48</v>
      </c>
      <c r="O355" s="9">
        <v>3</v>
      </c>
      <c r="P355" s="1">
        <f>ROUNDUP(1260*(1-$F$3),2)</f>
        <v>1260</v>
      </c>
      <c r="Q355" s="1" t="s">
        <v>49</v>
      </c>
      <c r="R355" s="1" t="s">
        <v>2182</v>
      </c>
      <c r="S355" s="1" t="s">
        <v>2183</v>
      </c>
      <c r="T355" s="9">
        <v>10</v>
      </c>
      <c r="U355" s="1">
        <f>ROUNDUP(1145.45*(1-$F$3),2)</f>
        <v>1145.45</v>
      </c>
      <c r="V355" s="1">
        <v>439</v>
      </c>
      <c r="Y355" s="1" t="s">
        <v>2184</v>
      </c>
      <c r="Z355" s="1" t="s">
        <v>53</v>
      </c>
      <c r="AA355" s="12">
        <v>45643</v>
      </c>
      <c r="AB355" s="1" t="s">
        <v>66</v>
      </c>
      <c r="AC355" s="1" t="s">
        <v>120</v>
      </c>
      <c r="AD355" s="1" t="s">
        <v>121</v>
      </c>
      <c r="AE355" s="1" t="s">
        <v>69</v>
      </c>
      <c r="AG355" s="1">
        <v>11578940</v>
      </c>
    </row>
    <row r="356" spans="3:33" s="1" customFormat="1" x14ac:dyDescent="0.25">
      <c r="C356" s="1" t="s">
        <v>2185</v>
      </c>
      <c r="D356" s="1" t="s">
        <v>2037</v>
      </c>
      <c r="E356" s="1" t="s">
        <v>2186</v>
      </c>
      <c r="F356" s="13" t="s">
        <v>6952</v>
      </c>
      <c r="G356" s="1" t="s">
        <v>2187</v>
      </c>
      <c r="H356" s="1" t="s">
        <v>160</v>
      </c>
      <c r="I356" s="1">
        <v>346</v>
      </c>
      <c r="J356" s="1" t="s">
        <v>46</v>
      </c>
      <c r="M356" s="1" t="s">
        <v>161</v>
      </c>
      <c r="N356" s="1" t="s">
        <v>48</v>
      </c>
      <c r="O356" s="9">
        <v>12</v>
      </c>
      <c r="P356" s="1">
        <f>ROUNDUP(1260*(1-$F$3),2)</f>
        <v>1260</v>
      </c>
      <c r="Q356" s="1" t="s">
        <v>49</v>
      </c>
      <c r="R356" s="1" t="s">
        <v>2188</v>
      </c>
      <c r="S356" s="1" t="s">
        <v>2189</v>
      </c>
      <c r="T356" s="9">
        <v>10</v>
      </c>
      <c r="U356" s="1">
        <f>ROUNDUP(1145.45*(1-$F$3),2)</f>
        <v>1145.45</v>
      </c>
      <c r="V356" s="1">
        <v>386</v>
      </c>
      <c r="Y356" s="1" t="s">
        <v>2190</v>
      </c>
      <c r="Z356" s="1" t="s">
        <v>53</v>
      </c>
      <c r="AA356" s="12">
        <v>44978</v>
      </c>
      <c r="AB356" s="1" t="s">
        <v>66</v>
      </c>
      <c r="AC356" s="1" t="s">
        <v>67</v>
      </c>
      <c r="AD356" s="1" t="s">
        <v>165</v>
      </c>
      <c r="AE356" s="1" t="s">
        <v>69</v>
      </c>
      <c r="AG356" s="1">
        <v>10809410</v>
      </c>
    </row>
    <row r="357" spans="3:33" s="1" customFormat="1" x14ac:dyDescent="0.25">
      <c r="C357" s="1" t="s">
        <v>2191</v>
      </c>
      <c r="D357" s="1" t="s">
        <v>2192</v>
      </c>
      <c r="E357" s="1" t="s">
        <v>2193</v>
      </c>
      <c r="F357" s="13" t="s">
        <v>6952</v>
      </c>
      <c r="G357" s="1" t="s">
        <v>495</v>
      </c>
      <c r="H357" s="1" t="s">
        <v>160</v>
      </c>
      <c r="I357" s="1">
        <v>432</v>
      </c>
      <c r="J357" s="1" t="s">
        <v>46</v>
      </c>
      <c r="M357" s="1" t="s">
        <v>756</v>
      </c>
      <c r="N357" s="1" t="s">
        <v>48</v>
      </c>
      <c r="O357" s="9">
        <v>8</v>
      </c>
      <c r="P357" s="1">
        <f>ROUNDUP(1100*(1-$F$3),2)</f>
        <v>1100</v>
      </c>
      <c r="Q357" s="1" t="s">
        <v>49</v>
      </c>
      <c r="R357" s="1" t="s">
        <v>2194</v>
      </c>
      <c r="S357" s="1" t="s">
        <v>2195</v>
      </c>
      <c r="T357" s="9">
        <v>10</v>
      </c>
      <c r="U357" s="1">
        <f>ROUNDUP(1000*(1-$F$3),2)</f>
        <v>1000</v>
      </c>
      <c r="V357" s="1">
        <v>463</v>
      </c>
      <c r="Y357" s="1" t="s">
        <v>2196</v>
      </c>
      <c r="Z357" s="1" t="s">
        <v>76</v>
      </c>
      <c r="AA357" s="12">
        <v>44417</v>
      </c>
      <c r="AB357" s="1" t="s">
        <v>66</v>
      </c>
      <c r="AC357" s="1" t="s">
        <v>499</v>
      </c>
      <c r="AD357" s="1" t="s">
        <v>500</v>
      </c>
      <c r="AE357" s="1" t="s">
        <v>69</v>
      </c>
      <c r="AG357" s="1">
        <v>9774250</v>
      </c>
    </row>
    <row r="358" spans="3:33" s="1" customFormat="1" x14ac:dyDescent="0.25">
      <c r="C358" s="1" t="s">
        <v>2197</v>
      </c>
      <c r="D358" s="1" t="s">
        <v>2192</v>
      </c>
      <c r="E358" s="1" t="s">
        <v>2198</v>
      </c>
      <c r="F358" s="13" t="s">
        <v>6952</v>
      </c>
      <c r="G358" s="1" t="s">
        <v>495</v>
      </c>
      <c r="H358" s="1" t="s">
        <v>160</v>
      </c>
      <c r="I358" s="1">
        <v>400</v>
      </c>
      <c r="J358" s="1" t="s">
        <v>46</v>
      </c>
      <c r="M358" s="1" t="s">
        <v>756</v>
      </c>
      <c r="N358" s="1" t="s">
        <v>48</v>
      </c>
      <c r="O358" s="9">
        <v>8</v>
      </c>
      <c r="P358" s="1">
        <f>ROUNDUP(1100*(1-$F$3),2)</f>
        <v>1100</v>
      </c>
      <c r="Q358" s="1" t="s">
        <v>49</v>
      </c>
      <c r="R358" s="1" t="s">
        <v>2199</v>
      </c>
      <c r="S358" s="1" t="s">
        <v>2200</v>
      </c>
      <c r="T358" s="9">
        <v>10</v>
      </c>
      <c r="U358" s="1">
        <f>ROUNDUP(1000*(1-$F$3),2)</f>
        <v>1000</v>
      </c>
      <c r="V358" s="1">
        <v>437</v>
      </c>
      <c r="Y358" s="1" t="s">
        <v>2201</v>
      </c>
      <c r="Z358" s="1" t="s">
        <v>76</v>
      </c>
      <c r="AA358" s="12">
        <v>44417</v>
      </c>
      <c r="AB358" s="1" t="s">
        <v>66</v>
      </c>
      <c r="AC358" s="1" t="s">
        <v>499</v>
      </c>
      <c r="AD358" s="1" t="s">
        <v>500</v>
      </c>
      <c r="AE358" s="1" t="s">
        <v>69</v>
      </c>
      <c r="AG358" s="1">
        <v>9776030</v>
      </c>
    </row>
    <row r="359" spans="3:33" s="1" customFormat="1" x14ac:dyDescent="0.25">
      <c r="C359" s="1" t="s">
        <v>2202</v>
      </c>
      <c r="D359" s="1" t="s">
        <v>2192</v>
      </c>
      <c r="E359" s="1" t="s">
        <v>2203</v>
      </c>
      <c r="F359" s="13" t="s">
        <v>6952</v>
      </c>
      <c r="G359" s="1" t="s">
        <v>495</v>
      </c>
      <c r="H359" s="1" t="s">
        <v>160</v>
      </c>
      <c r="I359" s="1">
        <v>320</v>
      </c>
      <c r="J359" s="1" t="s">
        <v>46</v>
      </c>
      <c r="M359" s="1" t="s">
        <v>756</v>
      </c>
      <c r="N359" s="1" t="s">
        <v>48</v>
      </c>
      <c r="O359" s="9">
        <v>12</v>
      </c>
      <c r="P359" s="1">
        <f>ROUNDUP(1020*(1-$F$3),2)</f>
        <v>1020</v>
      </c>
      <c r="Q359" s="1" t="s">
        <v>49</v>
      </c>
      <c r="R359" s="1" t="s">
        <v>2204</v>
      </c>
      <c r="S359" s="1" t="s">
        <v>2205</v>
      </c>
      <c r="T359" s="9">
        <v>10</v>
      </c>
      <c r="U359" s="1">
        <f>ROUNDUP(927.27*(1-$F$3),2)</f>
        <v>927.27</v>
      </c>
      <c r="V359" s="1">
        <v>356</v>
      </c>
      <c r="Y359" s="1" t="s">
        <v>2206</v>
      </c>
      <c r="Z359" s="1" t="s">
        <v>53</v>
      </c>
      <c r="AA359" s="12">
        <v>44230</v>
      </c>
      <c r="AB359" s="1" t="s">
        <v>66</v>
      </c>
      <c r="AC359" s="1" t="s">
        <v>499</v>
      </c>
      <c r="AD359" s="1" t="s">
        <v>500</v>
      </c>
      <c r="AE359" s="1" t="s">
        <v>69</v>
      </c>
      <c r="AG359" s="1">
        <v>9603660</v>
      </c>
    </row>
    <row r="360" spans="3:33" s="1" customFormat="1" x14ac:dyDescent="0.25">
      <c r="C360" s="1" t="s">
        <v>2207</v>
      </c>
      <c r="D360" s="1" t="s">
        <v>2192</v>
      </c>
      <c r="E360" s="1" t="s">
        <v>2208</v>
      </c>
      <c r="F360" s="13" t="s">
        <v>6952</v>
      </c>
      <c r="G360" s="1" t="s">
        <v>495</v>
      </c>
      <c r="H360" s="1" t="s">
        <v>160</v>
      </c>
      <c r="I360" s="1">
        <v>320</v>
      </c>
      <c r="J360" s="1" t="s">
        <v>46</v>
      </c>
      <c r="M360" s="1" t="s">
        <v>756</v>
      </c>
      <c r="N360" s="1" t="s">
        <v>48</v>
      </c>
      <c r="O360" s="9">
        <v>12</v>
      </c>
      <c r="P360" s="1">
        <f>ROUNDUP(1020*(1-$F$3),2)</f>
        <v>1020</v>
      </c>
      <c r="Q360" s="1" t="s">
        <v>49</v>
      </c>
      <c r="R360" s="1" t="s">
        <v>2209</v>
      </c>
      <c r="S360" s="1" t="s">
        <v>2210</v>
      </c>
      <c r="T360" s="9">
        <v>10</v>
      </c>
      <c r="U360" s="1">
        <f>ROUNDUP(927.27*(1-$F$3),2)</f>
        <v>927.27</v>
      </c>
      <c r="V360" s="1">
        <v>364</v>
      </c>
      <c r="Y360" s="1" t="s">
        <v>2211</v>
      </c>
      <c r="Z360" s="1" t="s">
        <v>53</v>
      </c>
      <c r="AA360" s="12">
        <v>44493</v>
      </c>
      <c r="AB360" s="1" t="s">
        <v>66</v>
      </c>
      <c r="AC360" s="1" t="s">
        <v>499</v>
      </c>
      <c r="AD360" s="1" t="s">
        <v>500</v>
      </c>
      <c r="AE360" s="1" t="s">
        <v>69</v>
      </c>
      <c r="AG360" s="1">
        <v>9847360</v>
      </c>
    </row>
    <row r="361" spans="3:33" s="1" customFormat="1" x14ac:dyDescent="0.25">
      <c r="C361" s="1" t="s">
        <v>2212</v>
      </c>
      <c r="D361" s="1" t="s">
        <v>2192</v>
      </c>
      <c r="E361" s="1" t="s">
        <v>2213</v>
      </c>
      <c r="F361" s="13" t="s">
        <v>6952</v>
      </c>
      <c r="G361" s="1" t="s">
        <v>495</v>
      </c>
      <c r="H361" s="1" t="s">
        <v>160</v>
      </c>
      <c r="I361" s="1">
        <v>640</v>
      </c>
      <c r="J361" s="1" t="s">
        <v>46</v>
      </c>
      <c r="M361" s="1" t="s">
        <v>62</v>
      </c>
      <c r="N361" s="1" t="s">
        <v>48</v>
      </c>
      <c r="O361" s="9"/>
      <c r="P361" s="1">
        <f>ROUNDUP(1720*(1-$F$3),2)</f>
        <v>1720</v>
      </c>
      <c r="Q361" s="1" t="s">
        <v>49</v>
      </c>
      <c r="R361" s="1" t="s">
        <v>2214</v>
      </c>
      <c r="S361" s="1" t="s">
        <v>2215</v>
      </c>
      <c r="T361" s="9">
        <v>22</v>
      </c>
      <c r="U361" s="1">
        <f>ROUNDUP(1409.84*(1-$F$3),2)</f>
        <v>1409.84</v>
      </c>
      <c r="V361" s="1">
        <v>795</v>
      </c>
      <c r="Y361" s="1" t="s">
        <v>2216</v>
      </c>
      <c r="Z361" s="1" t="s">
        <v>76</v>
      </c>
      <c r="AA361" s="12">
        <v>44586</v>
      </c>
      <c r="AB361" s="1" t="s">
        <v>66</v>
      </c>
      <c r="AC361" s="1" t="s">
        <v>499</v>
      </c>
      <c r="AD361" s="1" t="s">
        <v>500</v>
      </c>
      <c r="AE361" s="1" t="s">
        <v>69</v>
      </c>
      <c r="AG361" s="1">
        <v>10276400</v>
      </c>
    </row>
    <row r="362" spans="3:33" s="1" customFormat="1" x14ac:dyDescent="0.25">
      <c r="C362" s="1" t="s">
        <v>2217</v>
      </c>
      <c r="D362" s="1" t="s">
        <v>2192</v>
      </c>
      <c r="E362" s="1" t="s">
        <v>1681</v>
      </c>
      <c r="F362" s="13" t="s">
        <v>6952</v>
      </c>
      <c r="G362" s="1" t="s">
        <v>495</v>
      </c>
      <c r="H362" s="1" t="s">
        <v>160</v>
      </c>
      <c r="I362" s="1">
        <v>320</v>
      </c>
      <c r="J362" s="1" t="s">
        <v>46</v>
      </c>
      <c r="M362" s="1" t="s">
        <v>62</v>
      </c>
      <c r="N362" s="1" t="s">
        <v>48</v>
      </c>
      <c r="O362" s="9">
        <v>10</v>
      </c>
      <c r="P362" s="1">
        <f>ROUNDUP(1050*(1-$F$3),2)</f>
        <v>1050</v>
      </c>
      <c r="Q362" s="1" t="s">
        <v>49</v>
      </c>
      <c r="R362" s="1" t="s">
        <v>2218</v>
      </c>
      <c r="S362" s="1" t="s">
        <v>2219</v>
      </c>
      <c r="T362" s="9">
        <v>22</v>
      </c>
      <c r="U362" s="1">
        <f>ROUNDUP(860.66*(1-$F$3),2)</f>
        <v>860.66</v>
      </c>
      <c r="V362" s="1">
        <v>295</v>
      </c>
      <c r="Y362" s="1" t="s">
        <v>1684</v>
      </c>
      <c r="Z362" s="1" t="s">
        <v>76</v>
      </c>
      <c r="AA362" s="12">
        <v>44571</v>
      </c>
      <c r="AB362" s="1" t="s">
        <v>66</v>
      </c>
      <c r="AC362" s="1" t="s">
        <v>499</v>
      </c>
      <c r="AD362" s="1" t="s">
        <v>500</v>
      </c>
      <c r="AE362" s="1" t="s">
        <v>69</v>
      </c>
      <c r="AG362" s="1">
        <v>10033500</v>
      </c>
    </row>
    <row r="363" spans="3:33" s="1" customFormat="1" x14ac:dyDescent="0.25">
      <c r="C363" s="1" t="s">
        <v>2220</v>
      </c>
      <c r="D363" s="1" t="s">
        <v>2192</v>
      </c>
      <c r="E363" s="1" t="s">
        <v>2221</v>
      </c>
      <c r="F363" s="13" t="s">
        <v>6952</v>
      </c>
      <c r="G363" s="1" t="s">
        <v>495</v>
      </c>
      <c r="H363" s="1" t="s">
        <v>160</v>
      </c>
      <c r="I363" s="1">
        <v>320</v>
      </c>
      <c r="J363" s="1" t="s">
        <v>46</v>
      </c>
      <c r="M363" s="1" t="s">
        <v>47</v>
      </c>
      <c r="N363" s="1" t="s">
        <v>48</v>
      </c>
      <c r="O363" s="9">
        <v>7</v>
      </c>
      <c r="P363" s="1">
        <f>ROUNDUP(1100*(1-$F$3),2)</f>
        <v>1100</v>
      </c>
      <c r="Q363" s="1" t="s">
        <v>49</v>
      </c>
      <c r="R363" s="1" t="s">
        <v>2222</v>
      </c>
      <c r="S363" s="1" t="s">
        <v>2223</v>
      </c>
      <c r="T363" s="9">
        <v>22</v>
      </c>
      <c r="U363" s="1">
        <f>ROUNDUP(901.64*(1-$F$3),2)</f>
        <v>901.64</v>
      </c>
      <c r="V363" s="1">
        <v>358</v>
      </c>
      <c r="Y363" s="1" t="s">
        <v>2224</v>
      </c>
      <c r="Z363" s="1" t="s">
        <v>76</v>
      </c>
      <c r="AA363" s="12">
        <v>44160</v>
      </c>
      <c r="AB363" s="1" t="s">
        <v>66</v>
      </c>
      <c r="AC363" s="1" t="s">
        <v>499</v>
      </c>
      <c r="AD363" s="1" t="s">
        <v>500</v>
      </c>
      <c r="AE363" s="1" t="s">
        <v>69</v>
      </c>
      <c r="AG363" s="1">
        <v>9554690</v>
      </c>
    </row>
    <row r="364" spans="3:33" s="1" customFormat="1" x14ac:dyDescent="0.25">
      <c r="C364" s="1" t="s">
        <v>2225</v>
      </c>
      <c r="D364" s="1" t="s">
        <v>2192</v>
      </c>
      <c r="E364" s="1" t="s">
        <v>2226</v>
      </c>
      <c r="F364" s="13" t="s">
        <v>6952</v>
      </c>
      <c r="G364" s="1" t="s">
        <v>495</v>
      </c>
      <c r="H364" s="1" t="s">
        <v>160</v>
      </c>
      <c r="I364" s="1">
        <v>928</v>
      </c>
      <c r="J364" s="1" t="s">
        <v>46</v>
      </c>
      <c r="M364" s="1" t="s">
        <v>62</v>
      </c>
      <c r="N364" s="1" t="s">
        <v>48</v>
      </c>
      <c r="O364" s="9"/>
      <c r="P364" s="1">
        <f>ROUNDUP(2835*(1-$F$3),2)</f>
        <v>2835</v>
      </c>
      <c r="Q364" s="1" t="s">
        <v>49</v>
      </c>
      <c r="R364" s="1" t="s">
        <v>2227</v>
      </c>
      <c r="S364" s="1" t="s">
        <v>2228</v>
      </c>
      <c r="T364" s="9">
        <v>22</v>
      </c>
      <c r="U364" s="1">
        <f>ROUNDUP(2323.77*(1-$F$3),2)</f>
        <v>2323.77</v>
      </c>
      <c r="V364" s="1">
        <v>1065</v>
      </c>
      <c r="Y364" s="1" t="s">
        <v>2229</v>
      </c>
      <c r="Z364" s="1" t="s">
        <v>76</v>
      </c>
      <c r="AA364" s="12">
        <v>46052</v>
      </c>
      <c r="AB364" s="1" t="s">
        <v>66</v>
      </c>
      <c r="AC364" s="1" t="s">
        <v>499</v>
      </c>
      <c r="AD364" s="1" t="s">
        <v>500</v>
      </c>
      <c r="AE364" s="1" t="s">
        <v>69</v>
      </c>
      <c r="AG364" s="1">
        <v>12027400</v>
      </c>
    </row>
    <row r="365" spans="3:33" s="1" customFormat="1" x14ac:dyDescent="0.25">
      <c r="C365" s="1" t="s">
        <v>2230</v>
      </c>
      <c r="D365" s="1" t="s">
        <v>2192</v>
      </c>
      <c r="E365" s="1" t="s">
        <v>2231</v>
      </c>
      <c r="F365" s="13" t="s">
        <v>6952</v>
      </c>
      <c r="G365" s="1" t="s">
        <v>124</v>
      </c>
      <c r="H365" s="1" t="s">
        <v>61</v>
      </c>
      <c r="I365" s="1">
        <v>320</v>
      </c>
      <c r="J365" s="1" t="s">
        <v>46</v>
      </c>
      <c r="M365" s="1" t="s">
        <v>169</v>
      </c>
      <c r="N365" s="1" t="s">
        <v>48</v>
      </c>
      <c r="O365" s="9">
        <v>14</v>
      </c>
      <c r="P365" s="1">
        <f>ROUNDUP(1340*(1-$F$3),2)</f>
        <v>1340</v>
      </c>
      <c r="Q365" s="1" t="s">
        <v>49</v>
      </c>
      <c r="R365" s="1" t="s">
        <v>2232</v>
      </c>
      <c r="S365" s="1" t="s">
        <v>2233</v>
      </c>
      <c r="T365" s="9">
        <v>10</v>
      </c>
      <c r="U365" s="1">
        <f>ROUNDUP(1218.18*(1-$F$3),2)</f>
        <v>1218.18</v>
      </c>
      <c r="V365" s="1">
        <v>434</v>
      </c>
      <c r="Y365" s="1" t="s">
        <v>2234</v>
      </c>
      <c r="Z365" s="1" t="s">
        <v>53</v>
      </c>
      <c r="AA365" s="12">
        <v>44749</v>
      </c>
      <c r="AB365" s="1" t="s">
        <v>66</v>
      </c>
      <c r="AC365" s="1" t="s">
        <v>499</v>
      </c>
      <c r="AD365" s="1" t="s">
        <v>2235</v>
      </c>
      <c r="AE365" s="1" t="s">
        <v>69</v>
      </c>
      <c r="AG365" s="1">
        <v>10511990</v>
      </c>
    </row>
    <row r="366" spans="3:33" s="1" customFormat="1" x14ac:dyDescent="0.25">
      <c r="C366" s="1" t="s">
        <v>2236</v>
      </c>
      <c r="D366" s="1" t="s">
        <v>2237</v>
      </c>
      <c r="E366" s="1" t="s">
        <v>966</v>
      </c>
      <c r="F366" s="13" t="s">
        <v>6952</v>
      </c>
      <c r="G366" s="1" t="s">
        <v>503</v>
      </c>
      <c r="H366" s="1" t="s">
        <v>190</v>
      </c>
      <c r="I366" s="1">
        <v>368</v>
      </c>
      <c r="J366" s="1" t="s">
        <v>46</v>
      </c>
      <c r="M366" s="1" t="s">
        <v>62</v>
      </c>
      <c r="N366" s="1" t="s">
        <v>139</v>
      </c>
      <c r="O366" s="9">
        <v>8</v>
      </c>
      <c r="P366" s="1">
        <f>ROUNDUP(580*(1-$F$3),2)</f>
        <v>580</v>
      </c>
      <c r="Q366" s="1" t="s">
        <v>49</v>
      </c>
      <c r="R366" s="1" t="s">
        <v>2238</v>
      </c>
      <c r="S366" s="1" t="s">
        <v>2239</v>
      </c>
      <c r="T366" s="9">
        <v>22</v>
      </c>
      <c r="U366" s="1">
        <f>ROUNDUP(475.41*(1-$F$3),2)</f>
        <v>475.41</v>
      </c>
      <c r="V366" s="1">
        <v>177</v>
      </c>
      <c r="Y366" s="1" t="s">
        <v>969</v>
      </c>
      <c r="Z366" s="1" t="s">
        <v>128</v>
      </c>
      <c r="AA366" s="12">
        <v>43825</v>
      </c>
      <c r="AB366" s="1" t="s">
        <v>286</v>
      </c>
      <c r="AC366" s="1" t="s">
        <v>320</v>
      </c>
      <c r="AD366" s="1" t="s">
        <v>970</v>
      </c>
      <c r="AE366" s="1" t="s">
        <v>878</v>
      </c>
      <c r="AG366" s="1">
        <v>9239220</v>
      </c>
    </row>
    <row r="367" spans="3:33" s="1" customFormat="1" x14ac:dyDescent="0.25">
      <c r="C367" s="1" t="s">
        <v>2240</v>
      </c>
      <c r="D367" s="1" t="s">
        <v>2237</v>
      </c>
      <c r="E367" s="1" t="s">
        <v>966</v>
      </c>
      <c r="F367" s="13" t="s">
        <v>6952</v>
      </c>
      <c r="G367" s="1" t="s">
        <v>503</v>
      </c>
      <c r="H367" s="1" t="s">
        <v>160</v>
      </c>
      <c r="I367" s="1">
        <v>368</v>
      </c>
      <c r="J367" s="1" t="s">
        <v>46</v>
      </c>
      <c r="M367" s="1" t="s">
        <v>47</v>
      </c>
      <c r="N367" s="1" t="s">
        <v>48</v>
      </c>
      <c r="O367" s="9">
        <v>12</v>
      </c>
      <c r="P367" s="1">
        <f>ROUNDUP(910*(1-$F$3),2)</f>
        <v>910</v>
      </c>
      <c r="Q367" s="1" t="s">
        <v>49</v>
      </c>
      <c r="R367" s="1" t="s">
        <v>2241</v>
      </c>
      <c r="S367" s="1" t="s">
        <v>2242</v>
      </c>
      <c r="T367" s="9">
        <v>22</v>
      </c>
      <c r="U367" s="1">
        <f>ROUNDUP(745.9*(1-$F$3),2)</f>
        <v>745.9</v>
      </c>
      <c r="V367" s="1">
        <v>299</v>
      </c>
      <c r="Y367" s="1" t="s">
        <v>969</v>
      </c>
      <c r="Z367" s="1" t="s">
        <v>128</v>
      </c>
      <c r="AA367" s="12">
        <v>43097</v>
      </c>
      <c r="AB367" s="1" t="s">
        <v>286</v>
      </c>
      <c r="AC367" s="1" t="s">
        <v>320</v>
      </c>
      <c r="AD367" s="1" t="s">
        <v>970</v>
      </c>
      <c r="AE367" s="1" t="s">
        <v>878</v>
      </c>
      <c r="AG367" s="1">
        <v>8440830</v>
      </c>
    </row>
    <row r="368" spans="3:33" s="1" customFormat="1" x14ac:dyDescent="0.25">
      <c r="C368" s="1" t="s">
        <v>2243</v>
      </c>
      <c r="D368" s="1" t="s">
        <v>2244</v>
      </c>
      <c r="E368" s="1" t="s">
        <v>2245</v>
      </c>
      <c r="F368" s="13" t="s">
        <v>6952</v>
      </c>
      <c r="G368" s="1" t="s">
        <v>1771</v>
      </c>
      <c r="H368" s="1" t="s">
        <v>82</v>
      </c>
      <c r="I368" s="1">
        <v>752</v>
      </c>
      <c r="J368" s="1" t="s">
        <v>46</v>
      </c>
      <c r="M368" s="1" t="s">
        <v>176</v>
      </c>
      <c r="N368" s="1" t="s">
        <v>48</v>
      </c>
      <c r="O368" s="9">
        <v>4</v>
      </c>
      <c r="P368" s="1">
        <f>ROUNDUP(2460*(1-$F$3),2)</f>
        <v>2460</v>
      </c>
      <c r="Q368" s="1" t="s">
        <v>49</v>
      </c>
      <c r="R368" s="1" t="s">
        <v>2246</v>
      </c>
      <c r="S368" s="1" t="s">
        <v>2247</v>
      </c>
      <c r="T368" s="9">
        <v>10</v>
      </c>
      <c r="U368" s="1">
        <f>ROUNDUP(2236.36*(1-$F$3),2)</f>
        <v>2236.36</v>
      </c>
      <c r="V368" s="1">
        <v>831</v>
      </c>
      <c r="Y368" s="1" t="s">
        <v>2248</v>
      </c>
      <c r="Z368" s="1" t="s">
        <v>53</v>
      </c>
      <c r="AA368" s="12">
        <v>45251</v>
      </c>
      <c r="AB368" s="1" t="s">
        <v>86</v>
      </c>
      <c r="AC368" s="1" t="s">
        <v>401</v>
      </c>
      <c r="AD368" s="1" t="s">
        <v>2249</v>
      </c>
      <c r="AE368" s="1" t="s">
        <v>69</v>
      </c>
      <c r="AG368" s="1">
        <v>11144230</v>
      </c>
    </row>
    <row r="369" spans="3:33" s="1" customFormat="1" x14ac:dyDescent="0.25">
      <c r="C369" s="1" t="s">
        <v>2250</v>
      </c>
      <c r="D369" s="1" t="s">
        <v>2251</v>
      </c>
      <c r="E369" s="1" t="s">
        <v>2252</v>
      </c>
      <c r="F369" s="13" t="s">
        <v>6952</v>
      </c>
      <c r="G369" s="1" t="s">
        <v>2253</v>
      </c>
      <c r="H369" s="1" t="s">
        <v>61</v>
      </c>
      <c r="I369" s="1">
        <v>432</v>
      </c>
      <c r="J369" s="1" t="s">
        <v>46</v>
      </c>
      <c r="M369" s="1" t="s">
        <v>169</v>
      </c>
      <c r="N369" s="1" t="s">
        <v>48</v>
      </c>
      <c r="O369" s="9">
        <v>8</v>
      </c>
      <c r="P369" s="1">
        <f>ROUNDUP(1300*(1-$F$3),2)</f>
        <v>1300</v>
      </c>
      <c r="Q369" s="1" t="s">
        <v>49</v>
      </c>
      <c r="R369" s="1" t="s">
        <v>2254</v>
      </c>
      <c r="S369" s="1" t="s">
        <v>2255</v>
      </c>
      <c r="T369" s="9">
        <v>10</v>
      </c>
      <c r="U369" s="1">
        <f>ROUNDUP(1181.82*(1-$F$3),2)</f>
        <v>1181.82</v>
      </c>
      <c r="V369" s="1">
        <v>601</v>
      </c>
      <c r="Y369" s="1" t="s">
        <v>2256</v>
      </c>
      <c r="Z369" s="1" t="s">
        <v>53</v>
      </c>
      <c r="AA369" s="12">
        <v>44676</v>
      </c>
      <c r="AB369" s="1" t="s">
        <v>66</v>
      </c>
      <c r="AC369" s="1" t="s">
        <v>143</v>
      </c>
      <c r="AD369" s="1" t="s">
        <v>144</v>
      </c>
      <c r="AE369" s="1" t="s">
        <v>69</v>
      </c>
      <c r="AG369" s="1">
        <v>10375040</v>
      </c>
    </row>
    <row r="370" spans="3:33" s="1" customFormat="1" x14ac:dyDescent="0.25">
      <c r="C370" s="1" t="s">
        <v>2257</v>
      </c>
      <c r="D370" s="1" t="s">
        <v>2251</v>
      </c>
      <c r="E370" s="1" t="s">
        <v>2258</v>
      </c>
      <c r="F370" s="13" t="s">
        <v>6952</v>
      </c>
      <c r="G370" s="1" t="s">
        <v>2259</v>
      </c>
      <c r="H370" s="1" t="s">
        <v>61</v>
      </c>
      <c r="I370" s="1">
        <v>304</v>
      </c>
      <c r="J370" s="1" t="s">
        <v>46</v>
      </c>
      <c r="M370" s="1" t="s">
        <v>47</v>
      </c>
      <c r="N370" s="1" t="s">
        <v>48</v>
      </c>
      <c r="O370" s="9">
        <v>14</v>
      </c>
      <c r="P370" s="1">
        <f>ROUNDUP(1040*(1-$F$3),2)</f>
        <v>1040</v>
      </c>
      <c r="Q370" s="1" t="s">
        <v>49</v>
      </c>
      <c r="R370" s="1" t="s">
        <v>2260</v>
      </c>
      <c r="S370" s="1" t="s">
        <v>2261</v>
      </c>
      <c r="T370" s="9">
        <v>22</v>
      </c>
      <c r="U370" s="1">
        <f>ROUNDUP(852.46*(1-$F$3),2)</f>
        <v>852.46</v>
      </c>
      <c r="V370" s="1">
        <v>383</v>
      </c>
      <c r="Y370" s="1" t="s">
        <v>2262</v>
      </c>
      <c r="Z370" s="1" t="s">
        <v>76</v>
      </c>
      <c r="AA370" s="12">
        <v>45716</v>
      </c>
      <c r="AB370" s="1" t="s">
        <v>66</v>
      </c>
      <c r="AC370" s="1" t="s">
        <v>120</v>
      </c>
      <c r="AD370" s="1" t="s">
        <v>121</v>
      </c>
      <c r="AE370" s="1" t="s">
        <v>69</v>
      </c>
      <c r="AG370" s="1">
        <v>11610380</v>
      </c>
    </row>
    <row r="371" spans="3:33" s="1" customFormat="1" x14ac:dyDescent="0.25">
      <c r="C371" s="1" t="s">
        <v>2263</v>
      </c>
      <c r="D371" s="1" t="s">
        <v>2251</v>
      </c>
      <c r="E371" s="1" t="s">
        <v>2264</v>
      </c>
      <c r="F371" s="13" t="s">
        <v>6952</v>
      </c>
      <c r="G371" s="1" t="s">
        <v>2265</v>
      </c>
      <c r="H371" s="1" t="s">
        <v>61</v>
      </c>
      <c r="I371" s="1">
        <v>384</v>
      </c>
      <c r="J371" s="1" t="s">
        <v>46</v>
      </c>
      <c r="M371" s="1" t="s">
        <v>62</v>
      </c>
      <c r="N371" s="1" t="s">
        <v>48</v>
      </c>
      <c r="O371" s="9">
        <v>8</v>
      </c>
      <c r="P371" s="1">
        <f>ROUNDUP(1000*(1-$F$3),2)</f>
        <v>1000</v>
      </c>
      <c r="Q371" s="1" t="s">
        <v>49</v>
      </c>
      <c r="R371" s="1" t="s">
        <v>2266</v>
      </c>
      <c r="S371" s="1" t="s">
        <v>2267</v>
      </c>
      <c r="T371" s="9">
        <v>22</v>
      </c>
      <c r="U371" s="1">
        <f>ROUNDUP(819.67*(1-$F$3),2)</f>
        <v>819.67</v>
      </c>
      <c r="V371" s="1">
        <v>453</v>
      </c>
      <c r="Y371" s="1" t="s">
        <v>2268</v>
      </c>
      <c r="Z371" s="1" t="s">
        <v>76</v>
      </c>
      <c r="AA371" s="12">
        <v>45607</v>
      </c>
      <c r="AB371" s="1" t="s">
        <v>66</v>
      </c>
      <c r="AC371" s="1" t="s">
        <v>120</v>
      </c>
      <c r="AD371" s="1" t="s">
        <v>121</v>
      </c>
      <c r="AE371" s="1" t="s">
        <v>69</v>
      </c>
      <c r="AG371" s="1">
        <v>11502990</v>
      </c>
    </row>
    <row r="372" spans="3:33" s="1" customFormat="1" x14ac:dyDescent="0.25">
      <c r="C372" s="1" t="s">
        <v>2269</v>
      </c>
      <c r="D372" s="1" t="s">
        <v>2251</v>
      </c>
      <c r="E372" s="1" t="s">
        <v>2270</v>
      </c>
      <c r="F372" s="13" t="s">
        <v>6952</v>
      </c>
      <c r="G372" s="1" t="s">
        <v>2271</v>
      </c>
      <c r="H372" s="1" t="s">
        <v>61</v>
      </c>
      <c r="I372" s="1">
        <v>480</v>
      </c>
      <c r="J372" s="1" t="s">
        <v>46</v>
      </c>
      <c r="M372" s="1" t="s">
        <v>62</v>
      </c>
      <c r="N372" s="1" t="s">
        <v>48</v>
      </c>
      <c r="O372" s="9">
        <v>6</v>
      </c>
      <c r="P372" s="1">
        <f>ROUNDUP(1320*(1-$F$3),2)</f>
        <v>1320</v>
      </c>
      <c r="Q372" s="1" t="s">
        <v>49</v>
      </c>
      <c r="R372" s="1" t="s">
        <v>2272</v>
      </c>
      <c r="S372" s="1" t="s">
        <v>2273</v>
      </c>
      <c r="T372" s="9">
        <v>22</v>
      </c>
      <c r="U372" s="1">
        <f>ROUNDUP(1081.97*(1-$F$3),2)</f>
        <v>1081.97</v>
      </c>
      <c r="V372" s="1">
        <v>528</v>
      </c>
      <c r="Y372" s="1" t="s">
        <v>2274</v>
      </c>
      <c r="Z372" s="1" t="s">
        <v>76</v>
      </c>
      <c r="AA372" s="12">
        <v>45381</v>
      </c>
      <c r="AB372" s="1" t="s">
        <v>66</v>
      </c>
      <c r="AC372" s="1" t="s">
        <v>120</v>
      </c>
      <c r="AD372" s="1" t="s">
        <v>121</v>
      </c>
      <c r="AE372" s="1" t="s">
        <v>69</v>
      </c>
      <c r="AG372" s="1">
        <v>11265110</v>
      </c>
    </row>
    <row r="373" spans="3:33" s="1" customFormat="1" x14ac:dyDescent="0.25">
      <c r="C373" s="1" t="s">
        <v>2275</v>
      </c>
      <c r="D373" s="1" t="s">
        <v>2251</v>
      </c>
      <c r="E373" s="1" t="s">
        <v>2276</v>
      </c>
      <c r="F373" s="13" t="s">
        <v>6952</v>
      </c>
      <c r="G373" s="1" t="s">
        <v>2277</v>
      </c>
      <c r="H373" s="1" t="s">
        <v>61</v>
      </c>
      <c r="I373" s="1">
        <v>368</v>
      </c>
      <c r="J373" s="1" t="s">
        <v>46</v>
      </c>
      <c r="M373" s="1" t="s">
        <v>169</v>
      </c>
      <c r="N373" s="1" t="s">
        <v>48</v>
      </c>
      <c r="O373" s="9">
        <v>10</v>
      </c>
      <c r="P373" s="1">
        <f>ROUNDUP(1290*(1-$F$3),2)</f>
        <v>1290</v>
      </c>
      <c r="Q373" s="1" t="s">
        <v>49</v>
      </c>
      <c r="R373" s="1" t="s">
        <v>2278</v>
      </c>
      <c r="S373" s="1" t="s">
        <v>2279</v>
      </c>
      <c r="T373" s="9">
        <v>10</v>
      </c>
      <c r="U373" s="1">
        <f>ROUNDUP(1172.73*(1-$F$3),2)</f>
        <v>1172.73</v>
      </c>
      <c r="V373" s="1">
        <v>535</v>
      </c>
      <c r="Y373" s="1" t="s">
        <v>2280</v>
      </c>
      <c r="Z373" s="1" t="s">
        <v>53</v>
      </c>
      <c r="AA373" s="12">
        <v>44656</v>
      </c>
      <c r="AB373" s="1" t="s">
        <v>66</v>
      </c>
      <c r="AC373" s="1" t="s">
        <v>143</v>
      </c>
      <c r="AD373" s="1" t="s">
        <v>847</v>
      </c>
      <c r="AE373" s="1" t="s">
        <v>69</v>
      </c>
      <c r="AG373" s="1">
        <v>10292800</v>
      </c>
    </row>
    <row r="374" spans="3:33" s="1" customFormat="1" x14ac:dyDescent="0.25">
      <c r="C374" s="1" t="s">
        <v>2281</v>
      </c>
      <c r="D374" s="1" t="s">
        <v>2251</v>
      </c>
      <c r="E374" s="1" t="s">
        <v>2282</v>
      </c>
      <c r="F374" s="13" t="s">
        <v>6952</v>
      </c>
      <c r="G374" s="1" t="s">
        <v>2283</v>
      </c>
      <c r="H374" s="1" t="s">
        <v>61</v>
      </c>
      <c r="I374" s="1">
        <v>368</v>
      </c>
      <c r="J374" s="1" t="s">
        <v>46</v>
      </c>
      <c r="M374" s="1" t="s">
        <v>62</v>
      </c>
      <c r="N374" s="1" t="s">
        <v>48</v>
      </c>
      <c r="O374" s="9">
        <v>6</v>
      </c>
      <c r="P374" s="1">
        <f>ROUNDUP(1000*(1-$F$3),2)</f>
        <v>1000</v>
      </c>
      <c r="Q374" s="1" t="s">
        <v>49</v>
      </c>
      <c r="R374" s="1" t="s">
        <v>2284</v>
      </c>
      <c r="S374" s="1" t="s">
        <v>2285</v>
      </c>
      <c r="T374" s="9">
        <v>22</v>
      </c>
      <c r="U374" s="1">
        <f>ROUNDUP(819.67*(1-$F$3),2)</f>
        <v>819.67</v>
      </c>
      <c r="V374" s="1">
        <v>425</v>
      </c>
      <c r="Y374" s="1" t="s">
        <v>2286</v>
      </c>
      <c r="Z374" s="1" t="s">
        <v>76</v>
      </c>
      <c r="AA374" s="12">
        <v>45992</v>
      </c>
      <c r="AB374" s="1" t="s">
        <v>66</v>
      </c>
      <c r="AC374" s="1" t="s">
        <v>143</v>
      </c>
      <c r="AD374" s="1" t="s">
        <v>847</v>
      </c>
      <c r="AE374" s="1" t="s">
        <v>69</v>
      </c>
      <c r="AG374" s="1">
        <v>11936020</v>
      </c>
    </row>
    <row r="375" spans="3:33" s="1" customFormat="1" x14ac:dyDescent="0.25">
      <c r="C375" s="1" t="s">
        <v>2287</v>
      </c>
      <c r="D375" s="1" t="s">
        <v>2251</v>
      </c>
      <c r="E375" s="1" t="s">
        <v>2288</v>
      </c>
      <c r="F375" s="13" t="s">
        <v>6952</v>
      </c>
      <c r="G375" s="1" t="s">
        <v>2289</v>
      </c>
      <c r="H375" s="1" t="s">
        <v>61</v>
      </c>
      <c r="I375" s="1">
        <v>320</v>
      </c>
      <c r="J375" s="1" t="s">
        <v>46</v>
      </c>
      <c r="M375" s="1" t="s">
        <v>161</v>
      </c>
      <c r="N375" s="1" t="s">
        <v>48</v>
      </c>
      <c r="O375" s="9">
        <v>12</v>
      </c>
      <c r="P375" s="1">
        <f>ROUNDUP(1030*(1-$F$3),2)</f>
        <v>1030</v>
      </c>
      <c r="Q375" s="1" t="s">
        <v>49</v>
      </c>
      <c r="R375" s="1" t="s">
        <v>2290</v>
      </c>
      <c r="S375" s="1" t="s">
        <v>2291</v>
      </c>
      <c r="T375" s="9">
        <v>22</v>
      </c>
      <c r="U375" s="1">
        <f>ROUNDUP(844.26*(1-$F$3),2)</f>
        <v>844.26</v>
      </c>
      <c r="V375" s="1">
        <v>472</v>
      </c>
      <c r="Y375" s="1" t="s">
        <v>2292</v>
      </c>
      <c r="Z375" s="1" t="s">
        <v>76</v>
      </c>
      <c r="AA375" s="12">
        <v>44828</v>
      </c>
      <c r="AB375" s="1" t="s">
        <v>66</v>
      </c>
      <c r="AC375" s="1" t="s">
        <v>120</v>
      </c>
      <c r="AD375" s="1" t="s">
        <v>121</v>
      </c>
      <c r="AE375" s="1" t="s">
        <v>69</v>
      </c>
      <c r="AG375" s="1">
        <v>10583360</v>
      </c>
    </row>
    <row r="376" spans="3:33" s="1" customFormat="1" x14ac:dyDescent="0.25">
      <c r="C376" s="1" t="s">
        <v>2293</v>
      </c>
      <c r="D376" s="1" t="s">
        <v>2294</v>
      </c>
      <c r="E376" s="1" t="s">
        <v>2295</v>
      </c>
      <c r="F376" s="13" t="s">
        <v>6952</v>
      </c>
      <c r="G376" s="1" t="s">
        <v>2296</v>
      </c>
      <c r="H376" s="1" t="s">
        <v>160</v>
      </c>
      <c r="I376" s="1">
        <v>464</v>
      </c>
      <c r="J376" s="1" t="s">
        <v>46</v>
      </c>
      <c r="M376" s="1" t="s">
        <v>756</v>
      </c>
      <c r="N376" s="1" t="s">
        <v>48</v>
      </c>
      <c r="O376" s="9">
        <v>8</v>
      </c>
      <c r="P376" s="1">
        <f>ROUNDUP(1240*(1-$F$3),2)</f>
        <v>1240</v>
      </c>
      <c r="Q376" s="1" t="s">
        <v>49</v>
      </c>
      <c r="R376" s="1" t="s">
        <v>2297</v>
      </c>
      <c r="S376" s="1" t="s">
        <v>2298</v>
      </c>
      <c r="T376" s="9">
        <v>10</v>
      </c>
      <c r="U376" s="1">
        <f>ROUNDUP(1127.27*(1-$F$3),2)</f>
        <v>1127.27</v>
      </c>
      <c r="V376" s="1">
        <v>454</v>
      </c>
      <c r="Y376" s="1" t="s">
        <v>2299</v>
      </c>
      <c r="Z376" s="1" t="s">
        <v>53</v>
      </c>
      <c r="AA376" s="12">
        <v>44298</v>
      </c>
      <c r="AB376" s="1" t="s">
        <v>66</v>
      </c>
      <c r="AC376" s="1" t="s">
        <v>143</v>
      </c>
      <c r="AD376" s="1" t="s">
        <v>847</v>
      </c>
      <c r="AE376" s="1" t="s">
        <v>69</v>
      </c>
      <c r="AG376" s="1">
        <v>9671380</v>
      </c>
    </row>
    <row r="377" spans="3:33" s="1" customFormat="1" x14ac:dyDescent="0.25">
      <c r="C377" s="1" t="s">
        <v>2300</v>
      </c>
      <c r="D377" s="1" t="s">
        <v>2294</v>
      </c>
      <c r="E377" s="1" t="s">
        <v>2301</v>
      </c>
      <c r="F377" s="13" t="s">
        <v>6952</v>
      </c>
      <c r="G377" s="1" t="s">
        <v>2302</v>
      </c>
      <c r="H377" s="1" t="s">
        <v>160</v>
      </c>
      <c r="I377" s="1">
        <v>384</v>
      </c>
      <c r="J377" s="1" t="s">
        <v>46</v>
      </c>
      <c r="M377" s="1" t="s">
        <v>756</v>
      </c>
      <c r="N377" s="1" t="s">
        <v>48</v>
      </c>
      <c r="O377" s="9">
        <v>8</v>
      </c>
      <c r="P377" s="1">
        <f>ROUNDUP(1070*(1-$F$3),2)</f>
        <v>1070</v>
      </c>
      <c r="Q377" s="1" t="s">
        <v>49</v>
      </c>
      <c r="R377" s="1" t="s">
        <v>2303</v>
      </c>
      <c r="S377" s="1" t="s">
        <v>2304</v>
      </c>
      <c r="T377" s="9">
        <v>10</v>
      </c>
      <c r="U377" s="1">
        <f>ROUNDUP(972.73*(1-$F$3),2)</f>
        <v>972.73</v>
      </c>
      <c r="V377" s="1">
        <v>421</v>
      </c>
      <c r="Y377" s="1" t="s">
        <v>2305</v>
      </c>
      <c r="Z377" s="1" t="s">
        <v>53</v>
      </c>
      <c r="AA377" s="12">
        <v>44305</v>
      </c>
      <c r="AB377" s="1" t="s">
        <v>66</v>
      </c>
      <c r="AC377" s="1" t="s">
        <v>143</v>
      </c>
      <c r="AD377" s="1" t="s">
        <v>144</v>
      </c>
      <c r="AE377" s="1" t="s">
        <v>69</v>
      </c>
      <c r="AG377" s="1">
        <v>9699770</v>
      </c>
    </row>
    <row r="378" spans="3:33" s="1" customFormat="1" x14ac:dyDescent="0.25">
      <c r="C378" s="1" t="s">
        <v>2306</v>
      </c>
      <c r="D378" s="1" t="s">
        <v>2307</v>
      </c>
      <c r="E378" s="1" t="s">
        <v>2308</v>
      </c>
      <c r="F378" s="13" t="s">
        <v>6952</v>
      </c>
      <c r="G378" s="1" t="s">
        <v>2309</v>
      </c>
      <c r="H378" s="1" t="s">
        <v>61</v>
      </c>
      <c r="I378" s="1">
        <v>288</v>
      </c>
      <c r="J378" s="1" t="s">
        <v>46</v>
      </c>
      <c r="M378" s="1" t="s">
        <v>2310</v>
      </c>
      <c r="N378" s="1" t="s">
        <v>48</v>
      </c>
      <c r="O378" s="9">
        <v>14</v>
      </c>
      <c r="P378" s="1">
        <f>ROUNDUP(799.4*(1-$F$3),2)</f>
        <v>799.4</v>
      </c>
      <c r="Q378" s="1" t="s">
        <v>49</v>
      </c>
      <c r="R378" s="1" t="s">
        <v>2311</v>
      </c>
      <c r="S378" s="1" t="s">
        <v>2312</v>
      </c>
      <c r="T378" s="9">
        <v>10</v>
      </c>
      <c r="U378" s="1">
        <f>ROUNDUP(726.73*(1-$F$3),2)</f>
        <v>726.73</v>
      </c>
      <c r="V378" s="1">
        <v>387</v>
      </c>
      <c r="W378" s="1" t="s">
        <v>2313</v>
      </c>
      <c r="X378" s="1" t="s">
        <v>2314</v>
      </c>
      <c r="Y378" s="1" t="s">
        <v>2315</v>
      </c>
      <c r="Z378" s="1" t="s">
        <v>53</v>
      </c>
      <c r="AA378" s="12">
        <v>42185</v>
      </c>
      <c r="AB378" s="1" t="s">
        <v>66</v>
      </c>
      <c r="AC378" s="1" t="s">
        <v>143</v>
      </c>
      <c r="AD378" s="1" t="s">
        <v>144</v>
      </c>
      <c r="AE378" s="1" t="s">
        <v>69</v>
      </c>
      <c r="AG378" s="1">
        <v>6809990</v>
      </c>
    </row>
    <row r="379" spans="3:33" s="1" customFormat="1" x14ac:dyDescent="0.25">
      <c r="C379" s="1" t="s">
        <v>2316</v>
      </c>
      <c r="D379" s="1" t="s">
        <v>2307</v>
      </c>
      <c r="E379" s="1" t="s">
        <v>2317</v>
      </c>
      <c r="F379" s="13" t="s">
        <v>6952</v>
      </c>
      <c r="G379" s="1" t="s">
        <v>2318</v>
      </c>
      <c r="H379" s="1" t="s">
        <v>61</v>
      </c>
      <c r="I379" s="1">
        <v>320</v>
      </c>
      <c r="J379" s="1" t="s">
        <v>46</v>
      </c>
      <c r="M379" s="1" t="s">
        <v>2310</v>
      </c>
      <c r="N379" s="1" t="s">
        <v>48</v>
      </c>
      <c r="O379" s="9">
        <v>49</v>
      </c>
      <c r="P379" s="1">
        <f>ROUNDUP(960*(1-$F$3),2)</f>
        <v>960</v>
      </c>
      <c r="Q379" s="1" t="s">
        <v>49</v>
      </c>
      <c r="R379" s="1" t="s">
        <v>2319</v>
      </c>
      <c r="S379" s="1" t="s">
        <v>2320</v>
      </c>
      <c r="T379" s="9">
        <v>10</v>
      </c>
      <c r="U379" s="1">
        <f>ROUNDUP(872.73*(1-$F$3),2)</f>
        <v>872.73</v>
      </c>
      <c r="V379" s="1">
        <v>421</v>
      </c>
      <c r="Y379" s="1" t="s">
        <v>2321</v>
      </c>
      <c r="Z379" s="1" t="s">
        <v>53</v>
      </c>
      <c r="AA379" s="12">
        <v>43253</v>
      </c>
      <c r="AB379" s="1" t="s">
        <v>66</v>
      </c>
      <c r="AC379" s="1" t="s">
        <v>143</v>
      </c>
      <c r="AD379" s="1" t="s">
        <v>847</v>
      </c>
      <c r="AE379" s="1" t="s">
        <v>69</v>
      </c>
      <c r="AG379" s="1">
        <v>8604890</v>
      </c>
    </row>
    <row r="380" spans="3:33" s="1" customFormat="1" x14ac:dyDescent="0.25">
      <c r="C380" s="1" t="s">
        <v>2322</v>
      </c>
      <c r="D380" s="1" t="s">
        <v>2307</v>
      </c>
      <c r="E380" s="1" t="s">
        <v>2323</v>
      </c>
      <c r="F380" s="13" t="s">
        <v>6952</v>
      </c>
      <c r="G380" s="1" t="s">
        <v>2324</v>
      </c>
      <c r="H380" s="1" t="s">
        <v>61</v>
      </c>
      <c r="I380" s="1">
        <v>256</v>
      </c>
      <c r="J380" s="1" t="s">
        <v>46</v>
      </c>
      <c r="M380" s="1" t="s">
        <v>2310</v>
      </c>
      <c r="N380" s="1" t="s">
        <v>48</v>
      </c>
      <c r="O380" s="9">
        <v>14</v>
      </c>
      <c r="P380" s="1">
        <f>ROUNDUP(1020*(1-$F$3),2)</f>
        <v>1020</v>
      </c>
      <c r="Q380" s="1" t="s">
        <v>49</v>
      </c>
      <c r="R380" s="1" t="s">
        <v>2325</v>
      </c>
      <c r="S380" s="1" t="s">
        <v>2326</v>
      </c>
      <c r="T380" s="9">
        <v>10</v>
      </c>
      <c r="U380" s="1">
        <f>ROUNDUP(927.27*(1-$F$3),2)</f>
        <v>927.27</v>
      </c>
      <c r="V380" s="1">
        <v>346</v>
      </c>
      <c r="Y380" s="1" t="s">
        <v>2327</v>
      </c>
      <c r="Z380" s="1" t="s">
        <v>53</v>
      </c>
      <c r="AA380" s="12">
        <v>43157</v>
      </c>
      <c r="AB380" s="1" t="s">
        <v>66</v>
      </c>
      <c r="AC380" s="1" t="s">
        <v>143</v>
      </c>
      <c r="AD380" s="1" t="s">
        <v>847</v>
      </c>
      <c r="AE380" s="1" t="s">
        <v>69</v>
      </c>
      <c r="AG380" s="1">
        <v>8465150</v>
      </c>
    </row>
    <row r="381" spans="3:33" s="1" customFormat="1" x14ac:dyDescent="0.25">
      <c r="C381" s="1" t="s">
        <v>2328</v>
      </c>
      <c r="D381" s="1" t="s">
        <v>2307</v>
      </c>
      <c r="E381" s="1" t="s">
        <v>2329</v>
      </c>
      <c r="F381" s="13" t="s">
        <v>6952</v>
      </c>
      <c r="G381" s="1" t="s">
        <v>2330</v>
      </c>
      <c r="H381" s="1" t="s">
        <v>61</v>
      </c>
      <c r="I381" s="1">
        <v>271</v>
      </c>
      <c r="J381" s="1" t="s">
        <v>46</v>
      </c>
      <c r="K381" s="1" t="s">
        <v>1566</v>
      </c>
      <c r="M381" s="1" t="s">
        <v>2310</v>
      </c>
      <c r="N381" s="1" t="s">
        <v>48</v>
      </c>
      <c r="O381" s="9">
        <v>16</v>
      </c>
      <c r="P381" s="1">
        <f>ROUNDUP(1050*(1-$F$3),2)</f>
        <v>1050</v>
      </c>
      <c r="Q381" s="1" t="s">
        <v>49</v>
      </c>
      <c r="R381" s="1" t="s">
        <v>2331</v>
      </c>
      <c r="S381" s="1" t="s">
        <v>2332</v>
      </c>
      <c r="T381" s="9">
        <v>10</v>
      </c>
      <c r="U381" s="1">
        <f>ROUNDUP(954.55*(1-$F$3),2)</f>
        <v>954.55</v>
      </c>
      <c r="V381" s="1">
        <v>369</v>
      </c>
      <c r="Y381" s="1" t="s">
        <v>2333</v>
      </c>
      <c r="Z381" s="1" t="s">
        <v>53</v>
      </c>
      <c r="AA381" s="12">
        <v>43402</v>
      </c>
      <c r="AB381" s="1" t="s">
        <v>66</v>
      </c>
      <c r="AC381" s="1" t="s">
        <v>143</v>
      </c>
      <c r="AD381" s="1" t="s">
        <v>847</v>
      </c>
      <c r="AE381" s="1" t="s">
        <v>69</v>
      </c>
      <c r="AG381" s="1">
        <v>8824550</v>
      </c>
    </row>
    <row r="382" spans="3:33" s="1" customFormat="1" x14ac:dyDescent="0.25">
      <c r="C382" s="1" t="s">
        <v>2334</v>
      </c>
      <c r="D382" s="1" t="s">
        <v>2307</v>
      </c>
      <c r="E382" s="1" t="s">
        <v>2335</v>
      </c>
      <c r="F382" s="13" t="s">
        <v>6952</v>
      </c>
      <c r="G382" s="1" t="s">
        <v>2336</v>
      </c>
      <c r="H382" s="1" t="s">
        <v>61</v>
      </c>
      <c r="I382" s="1">
        <v>396</v>
      </c>
      <c r="J382" s="1" t="s">
        <v>46</v>
      </c>
      <c r="M382" s="1" t="s">
        <v>2310</v>
      </c>
      <c r="N382" s="1" t="s">
        <v>139</v>
      </c>
      <c r="O382" s="9">
        <v>10</v>
      </c>
      <c r="P382" s="1">
        <f>ROUNDUP(1690*(1-$F$3),2)</f>
        <v>1690</v>
      </c>
      <c r="Q382" s="1" t="s">
        <v>49</v>
      </c>
      <c r="R382" s="1" t="s">
        <v>2337</v>
      </c>
      <c r="S382" s="1" t="s">
        <v>2338</v>
      </c>
      <c r="T382" s="9">
        <v>10</v>
      </c>
      <c r="U382" s="1">
        <f>ROUNDUP(1536.36*(1-$F$3),2)</f>
        <v>1536.36</v>
      </c>
      <c r="V382" s="1">
        <v>426</v>
      </c>
      <c r="Y382" s="1" t="s">
        <v>2339</v>
      </c>
      <c r="Z382" s="1" t="s">
        <v>53</v>
      </c>
      <c r="AA382" s="12">
        <v>43194</v>
      </c>
      <c r="AB382" s="1" t="s">
        <v>66</v>
      </c>
      <c r="AC382" s="1" t="s">
        <v>143</v>
      </c>
      <c r="AD382" s="1" t="s">
        <v>144</v>
      </c>
      <c r="AE382" s="1" t="s">
        <v>69</v>
      </c>
      <c r="AG382" s="1">
        <v>8567860</v>
      </c>
    </row>
    <row r="383" spans="3:33" s="1" customFormat="1" x14ac:dyDescent="0.25">
      <c r="C383" s="1" t="s">
        <v>2340</v>
      </c>
      <c r="D383" s="1" t="s">
        <v>2341</v>
      </c>
      <c r="E383" s="1" t="s">
        <v>2342</v>
      </c>
      <c r="F383" s="13" t="s">
        <v>6952</v>
      </c>
      <c r="G383" s="1" t="s">
        <v>2343</v>
      </c>
      <c r="H383" s="1" t="s">
        <v>190</v>
      </c>
      <c r="I383" s="1">
        <v>320</v>
      </c>
      <c r="J383" s="1" t="s">
        <v>46</v>
      </c>
      <c r="M383" s="1" t="s">
        <v>835</v>
      </c>
      <c r="N383" s="1" t="s">
        <v>139</v>
      </c>
      <c r="O383" s="9">
        <v>20</v>
      </c>
      <c r="P383" s="1">
        <f>ROUNDUP(840*(1-$F$3),2)</f>
        <v>840</v>
      </c>
      <c r="Q383" s="1" t="s">
        <v>49</v>
      </c>
      <c r="R383" s="1" t="s">
        <v>2344</v>
      </c>
      <c r="S383" s="1" t="s">
        <v>2345</v>
      </c>
      <c r="T383" s="9">
        <v>10</v>
      </c>
      <c r="U383" s="1">
        <f>ROUNDUP(763.64*(1-$F$3),2)</f>
        <v>763.64</v>
      </c>
      <c r="V383" s="1">
        <v>241</v>
      </c>
      <c r="Y383" s="1" t="s">
        <v>2346</v>
      </c>
      <c r="Z383" s="1" t="s">
        <v>53</v>
      </c>
      <c r="AA383" s="12">
        <v>43278</v>
      </c>
      <c r="AB383" s="1" t="s">
        <v>66</v>
      </c>
      <c r="AC383" s="1" t="s">
        <v>143</v>
      </c>
      <c r="AD383" s="1" t="s">
        <v>847</v>
      </c>
      <c r="AE383" s="1" t="s">
        <v>69</v>
      </c>
      <c r="AG383" s="1">
        <v>8679710</v>
      </c>
    </row>
    <row r="384" spans="3:33" s="1" customFormat="1" x14ac:dyDescent="0.25">
      <c r="C384" s="1" t="s">
        <v>2347</v>
      </c>
      <c r="D384" s="1" t="s">
        <v>2348</v>
      </c>
      <c r="E384" s="1" t="s">
        <v>1300</v>
      </c>
      <c r="F384" s="13" t="s">
        <v>6952</v>
      </c>
      <c r="G384" s="1" t="s">
        <v>1301</v>
      </c>
      <c r="H384" s="1" t="s">
        <v>160</v>
      </c>
      <c r="I384" s="1">
        <v>230</v>
      </c>
      <c r="J384" s="1" t="s">
        <v>46</v>
      </c>
      <c r="M384" s="1" t="s">
        <v>1061</v>
      </c>
      <c r="N384" s="1" t="s">
        <v>139</v>
      </c>
      <c r="O384" s="9">
        <v>18</v>
      </c>
      <c r="P384" s="1">
        <f>ROUNDUP(710*(1-$F$3),2)</f>
        <v>710</v>
      </c>
      <c r="Q384" s="1" t="s">
        <v>49</v>
      </c>
      <c r="R384" s="1" t="s">
        <v>2349</v>
      </c>
      <c r="S384" s="1" t="s">
        <v>2350</v>
      </c>
      <c r="T384" s="9">
        <v>22</v>
      </c>
      <c r="U384" s="1">
        <f>ROUNDUP(581.97*(1-$F$3),2)</f>
        <v>581.97</v>
      </c>
      <c r="V384" s="1">
        <v>214</v>
      </c>
      <c r="Y384" s="1" t="s">
        <v>1304</v>
      </c>
      <c r="Z384" s="1" t="s">
        <v>53</v>
      </c>
      <c r="AA384" s="12">
        <v>43717</v>
      </c>
      <c r="AB384" s="1" t="s">
        <v>66</v>
      </c>
      <c r="AC384" s="1" t="s">
        <v>143</v>
      </c>
      <c r="AD384" s="1" t="s">
        <v>144</v>
      </c>
      <c r="AE384" s="1" t="s">
        <v>69</v>
      </c>
      <c r="AG384" s="1">
        <v>9150950</v>
      </c>
    </row>
    <row r="385" spans="3:33" s="1" customFormat="1" x14ac:dyDescent="0.25">
      <c r="C385" s="1" t="s">
        <v>2351</v>
      </c>
      <c r="D385" s="1" t="s">
        <v>2348</v>
      </c>
      <c r="E385" s="1" t="s">
        <v>2352</v>
      </c>
      <c r="F385" s="13" t="s">
        <v>6952</v>
      </c>
      <c r="G385" s="1" t="s">
        <v>1623</v>
      </c>
      <c r="H385" s="1" t="s">
        <v>61</v>
      </c>
      <c r="I385" s="1">
        <v>384</v>
      </c>
      <c r="J385" s="1" t="s">
        <v>46</v>
      </c>
      <c r="M385" s="1" t="s">
        <v>835</v>
      </c>
      <c r="N385" s="1" t="s">
        <v>48</v>
      </c>
      <c r="O385" s="9">
        <v>8</v>
      </c>
      <c r="P385" s="1">
        <f>ROUNDUP(1180*(1-$F$3),2)</f>
        <v>1180</v>
      </c>
      <c r="Q385" s="1" t="s">
        <v>49</v>
      </c>
      <c r="R385" s="1" t="s">
        <v>2353</v>
      </c>
      <c r="S385" s="1" t="s">
        <v>2354</v>
      </c>
      <c r="T385" s="9">
        <v>10</v>
      </c>
      <c r="U385" s="1">
        <f>ROUNDUP(1072.73*(1-$F$3),2)</f>
        <v>1072.73</v>
      </c>
      <c r="V385" s="1">
        <v>509</v>
      </c>
      <c r="Y385" s="1" t="s">
        <v>2355</v>
      </c>
      <c r="Z385" s="1" t="s">
        <v>76</v>
      </c>
      <c r="AA385" s="12">
        <v>43200</v>
      </c>
      <c r="AB385" s="1" t="s">
        <v>66</v>
      </c>
      <c r="AC385" s="1" t="s">
        <v>143</v>
      </c>
      <c r="AD385" s="1" t="s">
        <v>144</v>
      </c>
      <c r="AE385" s="1" t="s">
        <v>69</v>
      </c>
      <c r="AG385" s="1">
        <v>8558580</v>
      </c>
    </row>
    <row r="386" spans="3:33" s="1" customFormat="1" x14ac:dyDescent="0.25">
      <c r="C386" s="1" t="s">
        <v>2356</v>
      </c>
      <c r="D386" s="1" t="s">
        <v>2348</v>
      </c>
      <c r="E386" s="1" t="s">
        <v>2357</v>
      </c>
      <c r="F386" s="13" t="s">
        <v>6952</v>
      </c>
      <c r="G386" s="1" t="s">
        <v>2358</v>
      </c>
      <c r="H386" s="1" t="s">
        <v>61</v>
      </c>
      <c r="I386" s="1">
        <v>262</v>
      </c>
      <c r="J386" s="1" t="s">
        <v>46</v>
      </c>
      <c r="M386" s="1" t="s">
        <v>169</v>
      </c>
      <c r="N386" s="1" t="s">
        <v>48</v>
      </c>
      <c r="O386" s="9">
        <v>14</v>
      </c>
      <c r="P386" s="1">
        <f>ROUNDUP(1180*(1-$F$3),2)</f>
        <v>1180</v>
      </c>
      <c r="Q386" s="1" t="s">
        <v>49</v>
      </c>
      <c r="R386" s="1" t="s">
        <v>2359</v>
      </c>
      <c r="S386" s="1" t="s">
        <v>2360</v>
      </c>
      <c r="T386" s="9">
        <v>10</v>
      </c>
      <c r="U386" s="1">
        <f>ROUNDUP(1072.73*(1-$F$3),2)</f>
        <v>1072.73</v>
      </c>
      <c r="V386" s="1">
        <v>372</v>
      </c>
      <c r="Y386" s="1" t="s">
        <v>2361</v>
      </c>
      <c r="Z386" s="1" t="s">
        <v>53</v>
      </c>
      <c r="AA386" s="12">
        <v>43070</v>
      </c>
      <c r="AB386" s="1" t="s">
        <v>66</v>
      </c>
      <c r="AC386" s="1" t="s">
        <v>143</v>
      </c>
      <c r="AD386" s="1" t="s">
        <v>847</v>
      </c>
      <c r="AE386" s="1" t="s">
        <v>69</v>
      </c>
      <c r="AG386" s="1">
        <v>8404510</v>
      </c>
    </row>
    <row r="387" spans="3:33" s="1" customFormat="1" x14ac:dyDescent="0.25">
      <c r="C387" s="1" t="s">
        <v>2362</v>
      </c>
      <c r="D387" s="1" t="s">
        <v>2363</v>
      </c>
      <c r="E387" s="1" t="s">
        <v>2364</v>
      </c>
      <c r="F387" s="13" t="s">
        <v>6952</v>
      </c>
      <c r="G387" s="1" t="s">
        <v>2365</v>
      </c>
      <c r="H387" s="1" t="s">
        <v>160</v>
      </c>
      <c r="I387" s="1">
        <v>288</v>
      </c>
      <c r="J387" s="1" t="s">
        <v>46</v>
      </c>
      <c r="M387" s="1" t="s">
        <v>756</v>
      </c>
      <c r="N387" s="1" t="s">
        <v>48</v>
      </c>
      <c r="O387" s="9">
        <v>10</v>
      </c>
      <c r="P387" s="1">
        <f>ROUNDUP(940*(1-$F$3),2)</f>
        <v>940</v>
      </c>
      <c r="Q387" s="1" t="s">
        <v>49</v>
      </c>
      <c r="R387" s="1" t="s">
        <v>2366</v>
      </c>
      <c r="S387" s="1" t="s">
        <v>2367</v>
      </c>
      <c r="T387" s="9">
        <v>10</v>
      </c>
      <c r="U387" s="1">
        <f>ROUNDUP(854.55*(1-$F$3),2)</f>
        <v>854.55</v>
      </c>
      <c r="V387" s="1">
        <v>332</v>
      </c>
      <c r="Y387" s="1" t="s">
        <v>2368</v>
      </c>
      <c r="Z387" s="1" t="s">
        <v>128</v>
      </c>
      <c r="AA387" s="12">
        <v>44314</v>
      </c>
      <c r="AB387" s="1" t="s">
        <v>234</v>
      </c>
      <c r="AC387" s="1" t="s">
        <v>235</v>
      </c>
      <c r="AD387" s="1" t="s">
        <v>350</v>
      </c>
      <c r="AE387" s="1" t="s">
        <v>69</v>
      </c>
      <c r="AG387" s="1">
        <v>9690150</v>
      </c>
    </row>
    <row r="388" spans="3:33" s="1" customFormat="1" x14ac:dyDescent="0.25">
      <c r="C388" s="1" t="s">
        <v>2369</v>
      </c>
      <c r="D388" s="1" t="s">
        <v>2363</v>
      </c>
      <c r="E388" s="1" t="s">
        <v>2370</v>
      </c>
      <c r="F388" s="13" t="s">
        <v>6952</v>
      </c>
      <c r="G388" s="1" t="s">
        <v>2371</v>
      </c>
      <c r="H388" s="1" t="s">
        <v>160</v>
      </c>
      <c r="I388" s="1">
        <v>256</v>
      </c>
      <c r="J388" s="1" t="s">
        <v>46</v>
      </c>
      <c r="M388" s="1" t="s">
        <v>756</v>
      </c>
      <c r="N388" s="1" t="s">
        <v>48</v>
      </c>
      <c r="O388" s="9">
        <v>10</v>
      </c>
      <c r="P388" s="1">
        <f>ROUNDUP(1020*(1-$F$3),2)</f>
        <v>1020</v>
      </c>
      <c r="Q388" s="1" t="s">
        <v>49</v>
      </c>
      <c r="R388" s="1" t="s">
        <v>2372</v>
      </c>
      <c r="S388" s="1" t="s">
        <v>2373</v>
      </c>
      <c r="T388" s="9">
        <v>10</v>
      </c>
      <c r="U388" s="1">
        <f>ROUNDUP(927.27*(1-$F$3),2)</f>
        <v>927.27</v>
      </c>
      <c r="V388" s="1">
        <v>308</v>
      </c>
      <c r="Y388" s="1" t="s">
        <v>2374</v>
      </c>
      <c r="Z388" s="1" t="s">
        <v>128</v>
      </c>
      <c r="AA388" s="12">
        <v>44307</v>
      </c>
      <c r="AB388" s="1" t="s">
        <v>234</v>
      </c>
      <c r="AC388" s="1" t="s">
        <v>235</v>
      </c>
      <c r="AD388" s="1" t="s">
        <v>350</v>
      </c>
      <c r="AE388" s="1" t="s">
        <v>69</v>
      </c>
      <c r="AG388" s="1">
        <v>9686590</v>
      </c>
    </row>
    <row r="389" spans="3:33" s="1" customFormat="1" x14ac:dyDescent="0.25">
      <c r="C389" s="1" t="s">
        <v>2375</v>
      </c>
      <c r="D389" s="1" t="s">
        <v>2363</v>
      </c>
      <c r="E389" s="1" t="s">
        <v>2376</v>
      </c>
      <c r="F389" s="13" t="s">
        <v>6952</v>
      </c>
      <c r="G389" s="1" t="s">
        <v>2377</v>
      </c>
      <c r="H389" s="1" t="s">
        <v>160</v>
      </c>
      <c r="I389" s="1">
        <v>192</v>
      </c>
      <c r="J389" s="1" t="s">
        <v>46</v>
      </c>
      <c r="M389" s="1" t="s">
        <v>756</v>
      </c>
      <c r="N389" s="1" t="s">
        <v>48</v>
      </c>
      <c r="O389" s="9">
        <v>6</v>
      </c>
      <c r="P389" s="1">
        <f>ROUNDUP(880*(1-$F$3),2)</f>
        <v>880</v>
      </c>
      <c r="Q389" s="1" t="s">
        <v>49</v>
      </c>
      <c r="R389" s="1" t="s">
        <v>2378</v>
      </c>
      <c r="S389" s="1" t="s">
        <v>2379</v>
      </c>
      <c r="T389" s="9">
        <v>10</v>
      </c>
      <c r="U389" s="1">
        <f>ROUNDUP(800*(1-$F$3),2)</f>
        <v>800</v>
      </c>
      <c r="V389" s="1">
        <v>259</v>
      </c>
      <c r="Y389" s="1" t="s">
        <v>2380</v>
      </c>
      <c r="Z389" s="1" t="s">
        <v>128</v>
      </c>
      <c r="AA389" s="12">
        <v>44354</v>
      </c>
      <c r="AB389" s="1" t="s">
        <v>234</v>
      </c>
      <c r="AC389" s="1" t="s">
        <v>235</v>
      </c>
      <c r="AD389" s="1" t="s">
        <v>1264</v>
      </c>
      <c r="AE389" s="1" t="s">
        <v>69</v>
      </c>
      <c r="AG389" s="1">
        <v>9686560</v>
      </c>
    </row>
    <row r="390" spans="3:33" s="1" customFormat="1" x14ac:dyDescent="0.25">
      <c r="C390" s="1" t="s">
        <v>2381</v>
      </c>
      <c r="D390" s="1" t="s">
        <v>2363</v>
      </c>
      <c r="E390" s="1" t="s">
        <v>2382</v>
      </c>
      <c r="F390" s="13" t="s">
        <v>6952</v>
      </c>
      <c r="G390" s="1" t="s">
        <v>2383</v>
      </c>
      <c r="H390" s="1" t="s">
        <v>160</v>
      </c>
      <c r="I390" s="1">
        <v>256</v>
      </c>
      <c r="J390" s="1" t="s">
        <v>46</v>
      </c>
      <c r="M390" s="1" t="s">
        <v>756</v>
      </c>
      <c r="N390" s="1" t="s">
        <v>48</v>
      </c>
      <c r="O390" s="9">
        <v>10</v>
      </c>
      <c r="P390" s="1">
        <f>ROUNDUP(1020*(1-$F$3),2)</f>
        <v>1020</v>
      </c>
      <c r="Q390" s="1" t="s">
        <v>49</v>
      </c>
      <c r="R390" s="1" t="s">
        <v>2384</v>
      </c>
      <c r="S390" s="1" t="s">
        <v>2385</v>
      </c>
      <c r="T390" s="9">
        <v>10</v>
      </c>
      <c r="U390" s="1">
        <f>ROUNDUP(927.27*(1-$F$3),2)</f>
        <v>927.27</v>
      </c>
      <c r="V390" s="1">
        <v>306</v>
      </c>
      <c r="Y390" s="1" t="s">
        <v>2386</v>
      </c>
      <c r="Z390" s="1" t="s">
        <v>128</v>
      </c>
      <c r="AA390" s="12">
        <v>44316</v>
      </c>
      <c r="AB390" s="1" t="s">
        <v>234</v>
      </c>
      <c r="AC390" s="1" t="s">
        <v>235</v>
      </c>
      <c r="AD390" s="1" t="s">
        <v>350</v>
      </c>
      <c r="AE390" s="1" t="s">
        <v>69</v>
      </c>
      <c r="AG390" s="1">
        <v>9690830</v>
      </c>
    </row>
    <row r="391" spans="3:33" s="1" customFormat="1" x14ac:dyDescent="0.25">
      <c r="C391" s="1" t="s">
        <v>2387</v>
      </c>
      <c r="D391" s="1" t="s">
        <v>2363</v>
      </c>
      <c r="E391" s="1" t="s">
        <v>2388</v>
      </c>
      <c r="F391" s="13" t="s">
        <v>6952</v>
      </c>
      <c r="G391" s="1" t="s">
        <v>2389</v>
      </c>
      <c r="H391" s="1" t="s">
        <v>160</v>
      </c>
      <c r="I391" s="1">
        <v>288</v>
      </c>
      <c r="J391" s="1" t="s">
        <v>46</v>
      </c>
      <c r="M391" s="1" t="s">
        <v>756</v>
      </c>
      <c r="N391" s="1" t="s">
        <v>48</v>
      </c>
      <c r="O391" s="9">
        <v>10</v>
      </c>
      <c r="P391" s="1">
        <f>ROUNDUP(1020*(1-$F$3),2)</f>
        <v>1020</v>
      </c>
      <c r="Q391" s="1" t="s">
        <v>49</v>
      </c>
      <c r="R391" s="1" t="s">
        <v>2390</v>
      </c>
      <c r="S391" s="1" t="s">
        <v>2391</v>
      </c>
      <c r="T391" s="9">
        <v>10</v>
      </c>
      <c r="U391" s="1">
        <f>ROUNDUP(927.27*(1-$F$3),2)</f>
        <v>927.27</v>
      </c>
      <c r="V391" s="1">
        <v>335</v>
      </c>
      <c r="Y391" s="1" t="s">
        <v>2392</v>
      </c>
      <c r="Z391" s="1" t="s">
        <v>128</v>
      </c>
      <c r="AA391" s="12">
        <v>44347</v>
      </c>
      <c r="AB391" s="1" t="s">
        <v>234</v>
      </c>
      <c r="AC391" s="1" t="s">
        <v>235</v>
      </c>
      <c r="AD391" s="1" t="s">
        <v>1264</v>
      </c>
      <c r="AE391" s="1" t="s">
        <v>69</v>
      </c>
      <c r="AG391" s="1">
        <v>9702190</v>
      </c>
    </row>
    <row r="392" spans="3:33" s="1" customFormat="1" x14ac:dyDescent="0.25">
      <c r="C392" s="1" t="s">
        <v>2393</v>
      </c>
      <c r="D392" s="1" t="s">
        <v>2363</v>
      </c>
      <c r="E392" s="1" t="s">
        <v>2394</v>
      </c>
      <c r="F392" s="13" t="s">
        <v>6952</v>
      </c>
      <c r="G392" s="1" t="s">
        <v>2395</v>
      </c>
      <c r="H392" s="1" t="s">
        <v>160</v>
      </c>
      <c r="I392" s="1">
        <v>448</v>
      </c>
      <c r="J392" s="1" t="s">
        <v>46</v>
      </c>
      <c r="M392" s="1" t="s">
        <v>756</v>
      </c>
      <c r="N392" s="1" t="s">
        <v>48</v>
      </c>
      <c r="O392" s="9">
        <v>6</v>
      </c>
      <c r="P392" s="1">
        <f>ROUNDUP(1020*(1-$F$3),2)</f>
        <v>1020</v>
      </c>
      <c r="Q392" s="1" t="s">
        <v>49</v>
      </c>
      <c r="R392" s="1" t="s">
        <v>2396</v>
      </c>
      <c r="S392" s="1" t="s">
        <v>2397</v>
      </c>
      <c r="T392" s="9">
        <v>10</v>
      </c>
      <c r="U392" s="1">
        <f>ROUNDUP(927.27*(1-$F$3),2)</f>
        <v>927.27</v>
      </c>
      <c r="V392" s="1">
        <v>465</v>
      </c>
      <c r="Y392" s="1" t="s">
        <v>2398</v>
      </c>
      <c r="Z392" s="1" t="s">
        <v>128</v>
      </c>
      <c r="AA392" s="12">
        <v>44300</v>
      </c>
      <c r="AB392" s="1" t="s">
        <v>234</v>
      </c>
      <c r="AC392" s="1" t="s">
        <v>235</v>
      </c>
      <c r="AD392" s="1" t="s">
        <v>1264</v>
      </c>
      <c r="AE392" s="1" t="s">
        <v>69</v>
      </c>
      <c r="AG392" s="1">
        <v>9680470</v>
      </c>
    </row>
    <row r="393" spans="3:33" s="1" customFormat="1" x14ac:dyDescent="0.25">
      <c r="C393" s="1" t="s">
        <v>2399</v>
      </c>
      <c r="D393" s="1" t="s">
        <v>2363</v>
      </c>
      <c r="E393" s="1" t="s">
        <v>2400</v>
      </c>
      <c r="F393" s="13" t="s">
        <v>6952</v>
      </c>
      <c r="G393" s="1" t="s">
        <v>2383</v>
      </c>
      <c r="H393" s="1" t="s">
        <v>160</v>
      </c>
      <c r="I393" s="1">
        <v>288</v>
      </c>
      <c r="J393" s="1" t="s">
        <v>46</v>
      </c>
      <c r="M393" s="1" t="s">
        <v>756</v>
      </c>
      <c r="N393" s="1" t="s">
        <v>48</v>
      </c>
      <c r="O393" s="9">
        <v>10</v>
      </c>
      <c r="P393" s="1">
        <f>ROUNDUP(940*(1-$F$3),2)</f>
        <v>940</v>
      </c>
      <c r="Q393" s="1" t="s">
        <v>49</v>
      </c>
      <c r="R393" s="1" t="s">
        <v>2401</v>
      </c>
      <c r="S393" s="1" t="s">
        <v>2402</v>
      </c>
      <c r="T393" s="9">
        <v>10</v>
      </c>
      <c r="U393" s="1">
        <f>ROUNDUP(854.55*(1-$F$3),2)</f>
        <v>854.55</v>
      </c>
      <c r="V393" s="1">
        <v>333</v>
      </c>
      <c r="Y393" s="1" t="s">
        <v>2403</v>
      </c>
      <c r="Z393" s="1" t="s">
        <v>128</v>
      </c>
      <c r="AA393" s="12">
        <v>44307</v>
      </c>
      <c r="AB393" s="1" t="s">
        <v>234</v>
      </c>
      <c r="AC393" s="1" t="s">
        <v>235</v>
      </c>
      <c r="AD393" s="1" t="s">
        <v>350</v>
      </c>
      <c r="AE393" s="1" t="s">
        <v>69</v>
      </c>
      <c r="AG393" s="1">
        <v>9688070</v>
      </c>
    </row>
    <row r="394" spans="3:33" s="1" customFormat="1" x14ac:dyDescent="0.25">
      <c r="C394" s="1" t="s">
        <v>2404</v>
      </c>
      <c r="D394" s="1" t="s">
        <v>2363</v>
      </c>
      <c r="E394" s="1" t="s">
        <v>2405</v>
      </c>
      <c r="F394" s="13" t="s">
        <v>6952</v>
      </c>
      <c r="G394" s="1" t="s">
        <v>2406</v>
      </c>
      <c r="H394" s="1" t="s">
        <v>160</v>
      </c>
      <c r="I394" s="1">
        <v>352</v>
      </c>
      <c r="J394" s="1" t="s">
        <v>46</v>
      </c>
      <c r="M394" s="1" t="s">
        <v>756</v>
      </c>
      <c r="N394" s="1" t="s">
        <v>48</v>
      </c>
      <c r="O394" s="9">
        <v>8</v>
      </c>
      <c r="P394" s="1">
        <f>ROUNDUP(1160*(1-$F$3),2)</f>
        <v>1160</v>
      </c>
      <c r="Q394" s="1" t="s">
        <v>49</v>
      </c>
      <c r="R394" s="1" t="s">
        <v>2407</v>
      </c>
      <c r="S394" s="1" t="s">
        <v>2408</v>
      </c>
      <c r="T394" s="9">
        <v>10</v>
      </c>
      <c r="U394" s="1">
        <f>ROUNDUP(1054.55*(1-$F$3),2)</f>
        <v>1054.55</v>
      </c>
      <c r="V394" s="1">
        <v>396</v>
      </c>
      <c r="Y394" s="1" t="s">
        <v>2409</v>
      </c>
      <c r="Z394" s="1" t="s">
        <v>128</v>
      </c>
      <c r="AA394" s="12">
        <v>44347</v>
      </c>
      <c r="AB394" s="1" t="s">
        <v>95</v>
      </c>
      <c r="AC394" s="1" t="s">
        <v>313</v>
      </c>
      <c r="AD394" s="1" t="s">
        <v>2410</v>
      </c>
      <c r="AE394" s="1" t="s">
        <v>69</v>
      </c>
      <c r="AG394" s="1">
        <v>9709570</v>
      </c>
    </row>
    <row r="395" spans="3:33" s="1" customFormat="1" x14ac:dyDescent="0.25">
      <c r="C395" s="1" t="s">
        <v>2411</v>
      </c>
      <c r="D395" s="1" t="s">
        <v>2363</v>
      </c>
      <c r="E395" s="1" t="s">
        <v>2412</v>
      </c>
      <c r="F395" s="13" t="s">
        <v>6952</v>
      </c>
      <c r="G395" s="1" t="s">
        <v>2413</v>
      </c>
      <c r="H395" s="1" t="s">
        <v>160</v>
      </c>
      <c r="I395" s="1">
        <v>256</v>
      </c>
      <c r="J395" s="1" t="s">
        <v>46</v>
      </c>
      <c r="M395" s="1" t="s">
        <v>756</v>
      </c>
      <c r="N395" s="1" t="s">
        <v>48</v>
      </c>
      <c r="O395" s="9">
        <v>10</v>
      </c>
      <c r="P395" s="1">
        <f>ROUNDUP(940*(1-$F$3),2)</f>
        <v>940</v>
      </c>
      <c r="Q395" s="1" t="s">
        <v>49</v>
      </c>
      <c r="R395" s="1" t="s">
        <v>2414</v>
      </c>
      <c r="S395" s="1" t="s">
        <v>2415</v>
      </c>
      <c r="T395" s="9">
        <v>10</v>
      </c>
      <c r="U395" s="1">
        <f>ROUNDUP(854.55*(1-$F$3),2)</f>
        <v>854.55</v>
      </c>
      <c r="V395" s="1">
        <v>308</v>
      </c>
      <c r="Y395" s="1" t="s">
        <v>2416</v>
      </c>
      <c r="Z395" s="1" t="s">
        <v>128</v>
      </c>
      <c r="AA395" s="12">
        <v>44307</v>
      </c>
      <c r="AB395" s="1" t="s">
        <v>445</v>
      </c>
      <c r="AC395" s="1" t="s">
        <v>737</v>
      </c>
      <c r="AD395" s="1" t="s">
        <v>2417</v>
      </c>
      <c r="AE395" s="1" t="s">
        <v>69</v>
      </c>
      <c r="AG395" s="1">
        <v>9686600</v>
      </c>
    </row>
    <row r="396" spans="3:33" s="1" customFormat="1" x14ac:dyDescent="0.25">
      <c r="C396" s="1" t="s">
        <v>2418</v>
      </c>
      <c r="D396" s="1" t="s">
        <v>2363</v>
      </c>
      <c r="E396" s="1" t="s">
        <v>2419</v>
      </c>
      <c r="F396" s="13" t="s">
        <v>6952</v>
      </c>
      <c r="G396" s="1" t="s">
        <v>2420</v>
      </c>
      <c r="H396" s="1" t="s">
        <v>160</v>
      </c>
      <c r="I396" s="1">
        <v>272</v>
      </c>
      <c r="J396" s="1" t="s">
        <v>46</v>
      </c>
      <c r="M396" s="1" t="s">
        <v>756</v>
      </c>
      <c r="N396" s="1" t="s">
        <v>48</v>
      </c>
      <c r="O396" s="9">
        <v>10</v>
      </c>
      <c r="P396" s="1">
        <f>ROUNDUP(1020*(1-$F$3),2)</f>
        <v>1020</v>
      </c>
      <c r="Q396" s="1" t="s">
        <v>49</v>
      </c>
      <c r="R396" s="1" t="s">
        <v>2421</v>
      </c>
      <c r="S396" s="1" t="s">
        <v>2422</v>
      </c>
      <c r="T396" s="9">
        <v>10</v>
      </c>
      <c r="U396" s="1">
        <f>ROUNDUP(927.27*(1-$F$3),2)</f>
        <v>927.27</v>
      </c>
      <c r="V396" s="1">
        <v>318</v>
      </c>
      <c r="Y396" s="1" t="s">
        <v>2423</v>
      </c>
      <c r="Z396" s="1" t="s">
        <v>128</v>
      </c>
      <c r="AA396" s="12">
        <v>44300</v>
      </c>
      <c r="AB396" s="1" t="s">
        <v>234</v>
      </c>
      <c r="AC396" s="1" t="s">
        <v>235</v>
      </c>
      <c r="AD396" s="1" t="s">
        <v>1264</v>
      </c>
      <c r="AE396" s="1" t="s">
        <v>69</v>
      </c>
      <c r="AG396" s="1">
        <v>9680450</v>
      </c>
    </row>
    <row r="397" spans="3:33" s="1" customFormat="1" x14ac:dyDescent="0.25">
      <c r="C397" s="1" t="s">
        <v>2424</v>
      </c>
      <c r="D397" s="1" t="s">
        <v>2425</v>
      </c>
      <c r="E397" s="1" t="s">
        <v>2426</v>
      </c>
      <c r="F397" s="13" t="s">
        <v>6952</v>
      </c>
      <c r="G397" s="1" t="s">
        <v>2427</v>
      </c>
      <c r="H397" s="1" t="s">
        <v>45</v>
      </c>
      <c r="I397" s="1">
        <v>40</v>
      </c>
      <c r="J397" s="1" t="s">
        <v>46</v>
      </c>
      <c r="M397" s="1" t="s">
        <v>2310</v>
      </c>
      <c r="N397" s="1" t="s">
        <v>139</v>
      </c>
      <c r="O397" s="9">
        <v>20</v>
      </c>
      <c r="P397" s="1">
        <f>ROUNDUP(680*(1-$F$3),2)</f>
        <v>680</v>
      </c>
      <c r="Q397" s="1" t="s">
        <v>49</v>
      </c>
      <c r="R397" s="1" t="s">
        <v>2428</v>
      </c>
      <c r="S397" s="1" t="s">
        <v>2429</v>
      </c>
      <c r="T397" s="9">
        <v>10</v>
      </c>
      <c r="U397" s="1">
        <f>ROUNDUP(618.18*(1-$F$3),2)</f>
        <v>618.17999999999995</v>
      </c>
      <c r="V397" s="1">
        <v>149</v>
      </c>
      <c r="Y397" s="1" t="s">
        <v>2430</v>
      </c>
      <c r="Z397" s="1" t="s">
        <v>128</v>
      </c>
      <c r="AA397" s="12">
        <v>43095</v>
      </c>
      <c r="AB397" s="1" t="s">
        <v>445</v>
      </c>
      <c r="AC397" s="1" t="s">
        <v>737</v>
      </c>
      <c r="AD397" s="1" t="s">
        <v>2417</v>
      </c>
      <c r="AE397" s="1" t="s">
        <v>57</v>
      </c>
      <c r="AG397" s="1">
        <v>8394550</v>
      </c>
    </row>
    <row r="398" spans="3:33" s="1" customFormat="1" x14ac:dyDescent="0.25">
      <c r="C398" s="1" t="s">
        <v>2431</v>
      </c>
      <c r="D398" s="1" t="s">
        <v>2425</v>
      </c>
      <c r="E398" s="1" t="s">
        <v>2432</v>
      </c>
      <c r="F398" s="13" t="s">
        <v>6952</v>
      </c>
      <c r="G398" s="1" t="s">
        <v>2433</v>
      </c>
      <c r="H398" s="1" t="s">
        <v>45</v>
      </c>
      <c r="I398" s="1">
        <v>40</v>
      </c>
      <c r="J398" s="1" t="s">
        <v>46</v>
      </c>
      <c r="M398" s="1" t="s">
        <v>2310</v>
      </c>
      <c r="N398" s="1" t="s">
        <v>139</v>
      </c>
      <c r="O398" s="9">
        <v>20</v>
      </c>
      <c r="P398" s="1">
        <f>ROUNDUP(530*(1-$F$3),2)</f>
        <v>530</v>
      </c>
      <c r="Q398" s="1" t="s">
        <v>49</v>
      </c>
      <c r="R398" s="1" t="s">
        <v>2434</v>
      </c>
      <c r="S398" s="1" t="s">
        <v>2435</v>
      </c>
      <c r="T398" s="9">
        <v>10</v>
      </c>
      <c r="U398" s="1">
        <f>ROUNDUP(481.82*(1-$F$3),2)</f>
        <v>481.82</v>
      </c>
      <c r="V398" s="1">
        <v>148</v>
      </c>
      <c r="Y398" s="1" t="s">
        <v>2436</v>
      </c>
      <c r="Z398" s="1" t="s">
        <v>128</v>
      </c>
      <c r="AA398" s="12">
        <v>43230</v>
      </c>
      <c r="AB398" s="1" t="s">
        <v>445</v>
      </c>
      <c r="AC398" s="1" t="s">
        <v>737</v>
      </c>
      <c r="AD398" s="1" t="s">
        <v>2417</v>
      </c>
      <c r="AE398" s="1" t="s">
        <v>57</v>
      </c>
      <c r="AG398" s="1">
        <v>8651730</v>
      </c>
    </row>
    <row r="399" spans="3:33" s="1" customFormat="1" x14ac:dyDescent="0.25">
      <c r="C399" s="1" t="s">
        <v>2437</v>
      </c>
      <c r="D399" s="1" t="s">
        <v>2425</v>
      </c>
      <c r="E399" s="1" t="s">
        <v>2438</v>
      </c>
      <c r="F399" s="13" t="s">
        <v>6952</v>
      </c>
      <c r="G399" s="1" t="s">
        <v>2439</v>
      </c>
      <c r="H399" s="1" t="s">
        <v>45</v>
      </c>
      <c r="I399" s="1">
        <v>40</v>
      </c>
      <c r="J399" s="1" t="s">
        <v>46</v>
      </c>
      <c r="M399" s="1" t="s">
        <v>2310</v>
      </c>
      <c r="N399" s="1" t="s">
        <v>139</v>
      </c>
      <c r="O399" s="9">
        <v>20</v>
      </c>
      <c r="P399" s="1">
        <f>ROUNDUP(530*(1-$F$3),2)</f>
        <v>530</v>
      </c>
      <c r="Q399" s="1" t="s">
        <v>49</v>
      </c>
      <c r="R399" s="1" t="s">
        <v>2440</v>
      </c>
      <c r="S399" s="1" t="s">
        <v>2441</v>
      </c>
      <c r="T399" s="9">
        <v>10</v>
      </c>
      <c r="U399" s="1">
        <f>ROUNDUP(481.82*(1-$F$3),2)</f>
        <v>481.82</v>
      </c>
      <c r="V399" s="1">
        <v>149</v>
      </c>
      <c r="Y399" s="1" t="s">
        <v>2442</v>
      </c>
      <c r="Z399" s="1" t="s">
        <v>128</v>
      </c>
      <c r="AA399" s="12">
        <v>43230</v>
      </c>
      <c r="AB399" s="1" t="s">
        <v>445</v>
      </c>
      <c r="AC399" s="1" t="s">
        <v>737</v>
      </c>
      <c r="AD399" s="1" t="s">
        <v>2417</v>
      </c>
      <c r="AE399" s="1" t="s">
        <v>57</v>
      </c>
      <c r="AG399" s="1">
        <v>8651740</v>
      </c>
    </row>
    <row r="400" spans="3:33" s="1" customFormat="1" x14ac:dyDescent="0.25">
      <c r="C400" s="1" t="s">
        <v>2443</v>
      </c>
      <c r="D400" s="1" t="s">
        <v>2444</v>
      </c>
      <c r="E400" s="1" t="s">
        <v>2445</v>
      </c>
      <c r="F400" s="13" t="s">
        <v>6952</v>
      </c>
      <c r="H400" s="1" t="s">
        <v>160</v>
      </c>
      <c r="I400" s="1">
        <v>672</v>
      </c>
      <c r="J400" s="1" t="s">
        <v>46</v>
      </c>
      <c r="M400" s="1" t="s">
        <v>756</v>
      </c>
      <c r="N400" s="1" t="s">
        <v>48</v>
      </c>
      <c r="O400" s="9">
        <v>6</v>
      </c>
      <c r="P400" s="1">
        <f>ROUNDUP(1450*(1-$F$3),2)</f>
        <v>1450</v>
      </c>
      <c r="Q400" s="1" t="s">
        <v>49</v>
      </c>
      <c r="R400" s="1" t="s">
        <v>2446</v>
      </c>
      <c r="S400" s="1" t="s">
        <v>2447</v>
      </c>
      <c r="T400" s="9">
        <v>10</v>
      </c>
      <c r="U400" s="1">
        <f>ROUNDUP(1318.18*(1-$F$3),2)</f>
        <v>1318.18</v>
      </c>
      <c r="V400" s="1">
        <v>682</v>
      </c>
      <c r="Y400" s="1" t="s">
        <v>2448</v>
      </c>
      <c r="Z400" s="1" t="s">
        <v>1757</v>
      </c>
      <c r="AA400" s="12">
        <v>44427</v>
      </c>
      <c r="AB400" s="1" t="s">
        <v>66</v>
      </c>
      <c r="AC400" s="1" t="s">
        <v>2449</v>
      </c>
      <c r="AD400" s="1" t="s">
        <v>2450</v>
      </c>
      <c r="AE400" s="1" t="s">
        <v>69</v>
      </c>
      <c r="AG400" s="1">
        <v>9792210</v>
      </c>
    </row>
    <row r="401" spans="3:33" s="1" customFormat="1" x14ac:dyDescent="0.25">
      <c r="C401" s="1" t="s">
        <v>2451</v>
      </c>
      <c r="D401" s="1" t="s">
        <v>2444</v>
      </c>
      <c r="E401" s="1" t="s">
        <v>2452</v>
      </c>
      <c r="F401" s="13" t="s">
        <v>6952</v>
      </c>
      <c r="G401" s="1" t="s">
        <v>2453</v>
      </c>
      <c r="H401" s="1" t="s">
        <v>160</v>
      </c>
      <c r="I401" s="1">
        <v>704</v>
      </c>
      <c r="J401" s="1" t="s">
        <v>46</v>
      </c>
      <c r="M401" s="1" t="s">
        <v>756</v>
      </c>
      <c r="N401" s="1" t="s">
        <v>48</v>
      </c>
      <c r="O401" s="9">
        <v>6</v>
      </c>
      <c r="P401" s="1">
        <f>ROUNDUP(1310*(1-$F$3),2)</f>
        <v>1310</v>
      </c>
      <c r="Q401" s="1" t="s">
        <v>49</v>
      </c>
      <c r="R401" s="1" t="s">
        <v>2454</v>
      </c>
      <c r="S401" s="1" t="s">
        <v>2455</v>
      </c>
      <c r="T401" s="9">
        <v>10</v>
      </c>
      <c r="U401" s="1">
        <f>ROUNDUP(1190.91*(1-$F$3),2)</f>
        <v>1190.9100000000001</v>
      </c>
      <c r="V401" s="1">
        <v>678</v>
      </c>
      <c r="Y401" s="1" t="s">
        <v>2456</v>
      </c>
      <c r="Z401" s="1" t="s">
        <v>53</v>
      </c>
      <c r="AA401" s="12">
        <v>44260</v>
      </c>
      <c r="AB401" s="1" t="s">
        <v>66</v>
      </c>
      <c r="AC401" s="1" t="s">
        <v>2449</v>
      </c>
      <c r="AD401" s="1" t="s">
        <v>2450</v>
      </c>
      <c r="AE401" s="1" t="s">
        <v>69</v>
      </c>
      <c r="AG401" s="1">
        <v>9664070</v>
      </c>
    </row>
    <row r="402" spans="3:33" s="1" customFormat="1" x14ac:dyDescent="0.25">
      <c r="C402" s="1" t="s">
        <v>2457</v>
      </c>
      <c r="D402" s="1" t="s">
        <v>2444</v>
      </c>
      <c r="E402" s="1" t="s">
        <v>2458</v>
      </c>
      <c r="F402" s="13" t="s">
        <v>6952</v>
      </c>
      <c r="G402" s="1" t="s">
        <v>2453</v>
      </c>
      <c r="H402" s="1" t="s">
        <v>160</v>
      </c>
      <c r="I402" s="1">
        <v>1920</v>
      </c>
      <c r="J402" s="1" t="s">
        <v>46</v>
      </c>
      <c r="M402" s="1" t="s">
        <v>47</v>
      </c>
      <c r="N402" s="1" t="s">
        <v>48</v>
      </c>
      <c r="O402" s="9"/>
      <c r="P402" s="1">
        <f>ROUNDUP(4500*(1-$F$3),2)</f>
        <v>4500</v>
      </c>
      <c r="Q402" s="1" t="s">
        <v>49</v>
      </c>
      <c r="R402" s="1" t="s">
        <v>2459</v>
      </c>
      <c r="S402" s="1" t="s">
        <v>2460</v>
      </c>
      <c r="T402" s="9">
        <v>22</v>
      </c>
      <c r="U402" s="1">
        <f>ROUNDUP(3688.52*(1-$F$3),2)</f>
        <v>3688.52</v>
      </c>
      <c r="V402" s="1">
        <v>2114</v>
      </c>
      <c r="Y402" s="1" t="s">
        <v>2461</v>
      </c>
      <c r="Z402" s="1" t="s">
        <v>53</v>
      </c>
      <c r="AA402" s="12">
        <v>46057</v>
      </c>
      <c r="AB402" s="1" t="s">
        <v>66</v>
      </c>
      <c r="AC402" s="1" t="s">
        <v>2449</v>
      </c>
      <c r="AD402" s="1" t="s">
        <v>2450</v>
      </c>
      <c r="AE402" s="1" t="s">
        <v>69</v>
      </c>
      <c r="AG402" s="1">
        <v>12030820</v>
      </c>
    </row>
    <row r="403" spans="3:33" s="1" customFormat="1" x14ac:dyDescent="0.25">
      <c r="C403" s="1" t="s">
        <v>2462</v>
      </c>
      <c r="D403" s="1" t="s">
        <v>2444</v>
      </c>
      <c r="E403" s="1" t="s">
        <v>2463</v>
      </c>
      <c r="F403" s="13" t="s">
        <v>6952</v>
      </c>
      <c r="G403" s="1" t="s">
        <v>2453</v>
      </c>
      <c r="H403" s="1" t="s">
        <v>160</v>
      </c>
      <c r="I403" s="1">
        <v>640</v>
      </c>
      <c r="J403" s="1" t="s">
        <v>46</v>
      </c>
      <c r="M403" s="1" t="s">
        <v>756</v>
      </c>
      <c r="N403" s="1" t="s">
        <v>48</v>
      </c>
      <c r="O403" s="9">
        <v>5</v>
      </c>
      <c r="P403" s="1">
        <f>ROUNDUP(1450*(1-$F$3),2)</f>
        <v>1450</v>
      </c>
      <c r="Q403" s="1" t="s">
        <v>49</v>
      </c>
      <c r="R403" s="1" t="s">
        <v>2464</v>
      </c>
      <c r="S403" s="1" t="s">
        <v>2465</v>
      </c>
      <c r="T403" s="9">
        <v>10</v>
      </c>
      <c r="U403" s="1">
        <f>ROUNDUP(1318.18*(1-$F$3),2)</f>
        <v>1318.18</v>
      </c>
      <c r="V403" s="1">
        <v>668</v>
      </c>
      <c r="Y403" s="1" t="s">
        <v>2466</v>
      </c>
      <c r="Z403" s="1" t="s">
        <v>128</v>
      </c>
      <c r="AA403" s="12">
        <v>44417</v>
      </c>
      <c r="AB403" s="1" t="s">
        <v>66</v>
      </c>
      <c r="AC403" s="1" t="s">
        <v>2449</v>
      </c>
      <c r="AD403" s="1" t="s">
        <v>2450</v>
      </c>
      <c r="AE403" s="1" t="s">
        <v>69</v>
      </c>
      <c r="AG403" s="1">
        <v>9750120</v>
      </c>
    </row>
    <row r="404" spans="3:33" s="1" customFormat="1" x14ac:dyDescent="0.25">
      <c r="C404" s="1" t="s">
        <v>2467</v>
      </c>
      <c r="D404" s="1" t="s">
        <v>2444</v>
      </c>
      <c r="E404" s="1" t="s">
        <v>2468</v>
      </c>
      <c r="F404" s="13" t="s">
        <v>6952</v>
      </c>
      <c r="G404" s="1" t="s">
        <v>2453</v>
      </c>
      <c r="H404" s="1" t="s">
        <v>160</v>
      </c>
      <c r="I404" s="1">
        <v>480</v>
      </c>
      <c r="J404" s="1" t="s">
        <v>46</v>
      </c>
      <c r="M404" s="1" t="s">
        <v>169</v>
      </c>
      <c r="N404" s="1" t="s">
        <v>48</v>
      </c>
      <c r="O404" s="9">
        <v>8</v>
      </c>
      <c r="P404" s="1">
        <f>ROUNDUP(1240*(1-$F$3),2)</f>
        <v>1240</v>
      </c>
      <c r="Q404" s="1" t="s">
        <v>49</v>
      </c>
      <c r="R404" s="1" t="s">
        <v>2469</v>
      </c>
      <c r="S404" s="1" t="s">
        <v>2470</v>
      </c>
      <c r="T404" s="9">
        <v>10</v>
      </c>
      <c r="U404" s="1">
        <f>ROUNDUP(1127.27*(1-$F$3),2)</f>
        <v>1127.27</v>
      </c>
      <c r="V404" s="1">
        <v>494</v>
      </c>
      <c r="Y404" s="1" t="s">
        <v>2471</v>
      </c>
      <c r="Z404" s="1" t="s">
        <v>53</v>
      </c>
      <c r="AA404" s="12">
        <v>44532</v>
      </c>
      <c r="AB404" s="1" t="s">
        <v>66</v>
      </c>
      <c r="AC404" s="1" t="s">
        <v>2449</v>
      </c>
      <c r="AD404" s="1" t="s">
        <v>2450</v>
      </c>
      <c r="AE404" s="1" t="s">
        <v>69</v>
      </c>
      <c r="AG404" s="1">
        <v>9968080</v>
      </c>
    </row>
    <row r="405" spans="3:33" s="1" customFormat="1" x14ac:dyDescent="0.25">
      <c r="C405" s="1" t="s">
        <v>2472</v>
      </c>
      <c r="D405" s="1" t="s">
        <v>2444</v>
      </c>
      <c r="E405" s="1" t="s">
        <v>2473</v>
      </c>
      <c r="F405" s="13" t="s">
        <v>6952</v>
      </c>
      <c r="G405" s="1" t="s">
        <v>2453</v>
      </c>
      <c r="H405" s="1" t="s">
        <v>160</v>
      </c>
      <c r="I405" s="1">
        <v>736</v>
      </c>
      <c r="J405" s="1" t="s">
        <v>46</v>
      </c>
      <c r="M405" s="1" t="s">
        <v>169</v>
      </c>
      <c r="N405" s="1" t="s">
        <v>48</v>
      </c>
      <c r="O405" s="9">
        <v>6</v>
      </c>
      <c r="P405" s="1">
        <f>ROUNDUP(1430*(1-$F$3),2)</f>
        <v>1430</v>
      </c>
      <c r="Q405" s="1" t="s">
        <v>49</v>
      </c>
      <c r="R405" s="1" t="s">
        <v>2474</v>
      </c>
      <c r="S405" s="1" t="s">
        <v>2475</v>
      </c>
      <c r="T405" s="9">
        <v>10</v>
      </c>
      <c r="U405" s="1">
        <f>ROUNDUP(1300*(1-$F$3),2)</f>
        <v>1300</v>
      </c>
      <c r="V405" s="1">
        <v>713</v>
      </c>
      <c r="Y405" s="1" t="s">
        <v>2476</v>
      </c>
      <c r="Z405" s="1" t="s">
        <v>53</v>
      </c>
      <c r="AA405" s="12">
        <v>44532</v>
      </c>
      <c r="AB405" s="1" t="s">
        <v>66</v>
      </c>
      <c r="AC405" s="1" t="s">
        <v>2449</v>
      </c>
      <c r="AD405" s="1" t="s">
        <v>2450</v>
      </c>
      <c r="AE405" s="1" t="s">
        <v>69</v>
      </c>
      <c r="AG405" s="1">
        <v>9968230</v>
      </c>
    </row>
    <row r="406" spans="3:33" s="1" customFormat="1" x14ac:dyDescent="0.25">
      <c r="C406" s="1" t="s">
        <v>2477</v>
      </c>
      <c r="D406" s="1" t="s">
        <v>2444</v>
      </c>
      <c r="E406" s="1" t="s">
        <v>2478</v>
      </c>
      <c r="F406" s="13" t="s">
        <v>6952</v>
      </c>
      <c r="G406" s="1" t="s">
        <v>2453</v>
      </c>
      <c r="H406" s="1" t="s">
        <v>160</v>
      </c>
      <c r="I406" s="1">
        <v>704</v>
      </c>
      <c r="J406" s="1" t="s">
        <v>46</v>
      </c>
      <c r="M406" s="1" t="s">
        <v>169</v>
      </c>
      <c r="N406" s="1" t="s">
        <v>48</v>
      </c>
      <c r="O406" s="9">
        <v>6</v>
      </c>
      <c r="P406" s="1">
        <f>ROUNDUP(1400*(1-$F$3),2)</f>
        <v>1400</v>
      </c>
      <c r="Q406" s="1" t="s">
        <v>49</v>
      </c>
      <c r="R406" s="1" t="s">
        <v>2479</v>
      </c>
      <c r="S406" s="1" t="s">
        <v>2480</v>
      </c>
      <c r="T406" s="9">
        <v>10</v>
      </c>
      <c r="U406" s="1">
        <f>ROUNDUP(1272.73*(1-$F$3),2)</f>
        <v>1272.73</v>
      </c>
      <c r="V406" s="1">
        <v>679</v>
      </c>
      <c r="Y406" s="1" t="s">
        <v>2481</v>
      </c>
      <c r="Z406" s="1" t="s">
        <v>53</v>
      </c>
      <c r="AA406" s="12">
        <v>44532</v>
      </c>
      <c r="AB406" s="1" t="s">
        <v>66</v>
      </c>
      <c r="AC406" s="1" t="s">
        <v>2449</v>
      </c>
      <c r="AD406" s="1" t="s">
        <v>2450</v>
      </c>
      <c r="AE406" s="1" t="s">
        <v>69</v>
      </c>
      <c r="AG406" s="1">
        <v>9968220</v>
      </c>
    </row>
    <row r="407" spans="3:33" s="1" customFormat="1" x14ac:dyDescent="0.25">
      <c r="C407" s="1" t="s">
        <v>2482</v>
      </c>
      <c r="D407" s="1" t="s">
        <v>2483</v>
      </c>
      <c r="E407" s="1" t="s">
        <v>2484</v>
      </c>
      <c r="F407" s="13" t="s">
        <v>6952</v>
      </c>
      <c r="G407" s="1" t="s">
        <v>2485</v>
      </c>
      <c r="H407" s="1" t="s">
        <v>45</v>
      </c>
      <c r="I407" s="1">
        <v>40</v>
      </c>
      <c r="J407" s="1" t="s">
        <v>46</v>
      </c>
      <c r="M407" s="1" t="s">
        <v>2486</v>
      </c>
      <c r="N407" s="1" t="s">
        <v>139</v>
      </c>
      <c r="O407" s="9">
        <v>60</v>
      </c>
      <c r="P407" s="1">
        <f>ROUNDUP(614.4*(1-$F$3),2)</f>
        <v>614.4</v>
      </c>
      <c r="Q407" s="1" t="s">
        <v>49</v>
      </c>
      <c r="R407" s="1" t="s">
        <v>2487</v>
      </c>
      <c r="S407" s="1" t="s">
        <v>2488</v>
      </c>
      <c r="T407" s="9">
        <v>10</v>
      </c>
      <c r="U407" s="1">
        <f>ROUNDUP(558.55*(1-$F$3),2)</f>
        <v>558.54999999999995</v>
      </c>
      <c r="V407" s="1">
        <v>186</v>
      </c>
      <c r="W407" s="1" t="s">
        <v>2489</v>
      </c>
      <c r="X407" s="1" t="s">
        <v>2490</v>
      </c>
      <c r="Y407" s="1" t="s">
        <v>2491</v>
      </c>
      <c r="AA407" s="12">
        <v>42059</v>
      </c>
      <c r="AB407" s="1" t="s">
        <v>445</v>
      </c>
      <c r="AC407" s="1" t="s">
        <v>737</v>
      </c>
      <c r="AD407" s="1" t="s">
        <v>2417</v>
      </c>
      <c r="AE407" s="1" t="s">
        <v>49</v>
      </c>
      <c r="AG407" s="1">
        <v>6715860</v>
      </c>
    </row>
    <row r="408" spans="3:33" s="1" customFormat="1" x14ac:dyDescent="0.25">
      <c r="C408" s="1" t="s">
        <v>2492</v>
      </c>
      <c r="D408" s="1" t="s">
        <v>2493</v>
      </c>
      <c r="E408" s="1" t="s">
        <v>2494</v>
      </c>
      <c r="F408" s="13" t="s">
        <v>6952</v>
      </c>
      <c r="G408" s="1" t="s">
        <v>2495</v>
      </c>
      <c r="H408" s="1" t="s">
        <v>2496</v>
      </c>
      <c r="I408" s="1">
        <v>256</v>
      </c>
      <c r="J408" s="1" t="s">
        <v>46</v>
      </c>
      <c r="M408" s="1" t="s">
        <v>1994</v>
      </c>
      <c r="N408" s="1" t="s">
        <v>139</v>
      </c>
      <c r="O408" s="9">
        <v>40</v>
      </c>
      <c r="P408" s="1">
        <f>ROUNDUP(1454.5*(1-$F$3),2)</f>
        <v>1454.5</v>
      </c>
      <c r="Q408" s="1" t="s">
        <v>49</v>
      </c>
      <c r="R408" s="1" t="s">
        <v>2497</v>
      </c>
      <c r="S408" s="1" t="s">
        <v>2498</v>
      </c>
      <c r="T408" s="9">
        <v>10</v>
      </c>
      <c r="U408" s="1">
        <f>ROUNDUP(1322.27*(1-$F$3),2)</f>
        <v>1322.27</v>
      </c>
      <c r="V408" s="1">
        <v>362</v>
      </c>
      <c r="W408" s="1" t="s">
        <v>2499</v>
      </c>
      <c r="X408" s="1" t="s">
        <v>2500</v>
      </c>
      <c r="Y408" s="1" t="s">
        <v>2501</v>
      </c>
      <c r="AA408" s="12">
        <v>41596</v>
      </c>
      <c r="AB408" s="1" t="s">
        <v>728</v>
      </c>
      <c r="AC408" s="1" t="s">
        <v>729</v>
      </c>
      <c r="AD408" s="1" t="s">
        <v>2502</v>
      </c>
      <c r="AE408" s="1" t="s">
        <v>49</v>
      </c>
      <c r="AG408" s="1">
        <v>5859520</v>
      </c>
    </row>
    <row r="409" spans="3:33" s="1" customFormat="1" x14ac:dyDescent="0.25">
      <c r="C409" s="1" t="s">
        <v>2503</v>
      </c>
      <c r="D409" s="1" t="s">
        <v>2504</v>
      </c>
      <c r="E409" s="1" t="s">
        <v>2505</v>
      </c>
      <c r="F409" s="13" t="s">
        <v>6952</v>
      </c>
      <c r="G409" s="1" t="s">
        <v>2506</v>
      </c>
      <c r="H409" s="1" t="s">
        <v>61</v>
      </c>
      <c r="I409" s="1">
        <v>480</v>
      </c>
      <c r="J409" s="1" t="s">
        <v>46</v>
      </c>
      <c r="M409" s="1" t="s">
        <v>835</v>
      </c>
      <c r="N409" s="1" t="s">
        <v>48</v>
      </c>
      <c r="O409" s="9">
        <v>10</v>
      </c>
      <c r="P409" s="1">
        <f>ROUNDUP(1190*(1-$F$3),2)</f>
        <v>1190</v>
      </c>
      <c r="Q409" s="1" t="s">
        <v>49</v>
      </c>
      <c r="R409" s="1" t="s">
        <v>2507</v>
      </c>
      <c r="S409" s="1" t="s">
        <v>2508</v>
      </c>
      <c r="T409" s="9">
        <v>10</v>
      </c>
      <c r="U409" s="1">
        <f>ROUNDUP(1081.82*(1-$F$3),2)</f>
        <v>1081.82</v>
      </c>
      <c r="V409" s="1">
        <v>616</v>
      </c>
      <c r="Y409" s="1" t="s">
        <v>2509</v>
      </c>
      <c r="Z409" s="1" t="s">
        <v>53</v>
      </c>
      <c r="AA409" s="12">
        <v>44165</v>
      </c>
      <c r="AB409" s="1" t="s">
        <v>66</v>
      </c>
      <c r="AC409" s="1" t="s">
        <v>67</v>
      </c>
      <c r="AD409" s="1" t="s">
        <v>180</v>
      </c>
      <c r="AE409" s="1" t="s">
        <v>69</v>
      </c>
      <c r="AG409" s="1">
        <v>9549460</v>
      </c>
    </row>
    <row r="410" spans="3:33" s="1" customFormat="1" x14ac:dyDescent="0.25">
      <c r="C410" s="1" t="s">
        <v>2510</v>
      </c>
      <c r="D410" s="1" t="s">
        <v>2504</v>
      </c>
      <c r="E410" s="1" t="s">
        <v>2511</v>
      </c>
      <c r="F410" s="13" t="s">
        <v>6952</v>
      </c>
      <c r="G410" s="1" t="s">
        <v>2506</v>
      </c>
      <c r="H410" s="1" t="s">
        <v>61</v>
      </c>
      <c r="I410" s="1">
        <v>480</v>
      </c>
      <c r="J410" s="1" t="s">
        <v>46</v>
      </c>
      <c r="M410" s="1" t="s">
        <v>756</v>
      </c>
      <c r="N410" s="1" t="s">
        <v>48</v>
      </c>
      <c r="O410" s="9">
        <v>6</v>
      </c>
      <c r="P410" s="1">
        <f>ROUNDUP(1290*(1-$F$3),2)</f>
        <v>1290</v>
      </c>
      <c r="Q410" s="1" t="s">
        <v>49</v>
      </c>
      <c r="R410" s="1" t="s">
        <v>2512</v>
      </c>
      <c r="S410" s="1" t="s">
        <v>2513</v>
      </c>
      <c r="T410" s="9">
        <v>10</v>
      </c>
      <c r="U410" s="1">
        <f>ROUNDUP(1172.73*(1-$F$3),2)</f>
        <v>1172.73</v>
      </c>
      <c r="V410" s="1">
        <v>569</v>
      </c>
      <c r="Y410" s="1" t="s">
        <v>2514</v>
      </c>
      <c r="Z410" s="1" t="s">
        <v>53</v>
      </c>
      <c r="AA410" s="12">
        <v>44434</v>
      </c>
      <c r="AB410" s="1" t="s">
        <v>66</v>
      </c>
      <c r="AC410" s="1" t="s">
        <v>67</v>
      </c>
      <c r="AD410" s="1" t="s">
        <v>180</v>
      </c>
      <c r="AE410" s="1" t="s">
        <v>69</v>
      </c>
      <c r="AG410" s="1">
        <v>9733880</v>
      </c>
    </row>
    <row r="411" spans="3:33" s="1" customFormat="1" x14ac:dyDescent="0.25">
      <c r="C411" s="1" t="s">
        <v>2515</v>
      </c>
      <c r="D411" s="1" t="s">
        <v>2504</v>
      </c>
      <c r="E411" s="1" t="s">
        <v>2516</v>
      </c>
      <c r="F411" s="13" t="s">
        <v>6952</v>
      </c>
      <c r="G411" s="1" t="s">
        <v>2506</v>
      </c>
      <c r="H411" s="1" t="s">
        <v>61</v>
      </c>
      <c r="I411" s="1">
        <v>512</v>
      </c>
      <c r="J411" s="1" t="s">
        <v>46</v>
      </c>
      <c r="M411" s="1" t="s">
        <v>169</v>
      </c>
      <c r="N411" s="1" t="s">
        <v>48</v>
      </c>
      <c r="O411" s="9">
        <v>10</v>
      </c>
      <c r="P411" s="1">
        <f>ROUNDUP(1390*(1-$F$3),2)</f>
        <v>1390</v>
      </c>
      <c r="Q411" s="1" t="s">
        <v>49</v>
      </c>
      <c r="R411" s="1" t="s">
        <v>2517</v>
      </c>
      <c r="S411" s="1" t="s">
        <v>2518</v>
      </c>
      <c r="T411" s="9">
        <v>10</v>
      </c>
      <c r="U411" s="1">
        <f>ROUNDUP(1263.64*(1-$F$3),2)</f>
        <v>1263.6400000000001</v>
      </c>
      <c r="V411" s="1">
        <v>594</v>
      </c>
      <c r="Y411" s="1" t="s">
        <v>2519</v>
      </c>
      <c r="Z411" s="1" t="s">
        <v>53</v>
      </c>
      <c r="AA411" s="12">
        <v>44645</v>
      </c>
      <c r="AB411" s="1" t="s">
        <v>66</v>
      </c>
      <c r="AC411" s="1" t="s">
        <v>67</v>
      </c>
      <c r="AD411" s="1" t="s">
        <v>180</v>
      </c>
      <c r="AE411" s="1" t="s">
        <v>69</v>
      </c>
      <c r="AG411" s="1">
        <v>10292810</v>
      </c>
    </row>
    <row r="412" spans="3:33" s="1" customFormat="1" x14ac:dyDescent="0.25">
      <c r="C412" s="1" t="s">
        <v>2520</v>
      </c>
      <c r="D412" s="1" t="s">
        <v>2521</v>
      </c>
      <c r="E412" s="1" t="s">
        <v>2522</v>
      </c>
      <c r="F412" s="13" t="s">
        <v>6952</v>
      </c>
      <c r="G412" s="1" t="s">
        <v>986</v>
      </c>
      <c r="H412" s="1" t="s">
        <v>160</v>
      </c>
      <c r="I412" s="1">
        <v>496</v>
      </c>
      <c r="J412" s="1" t="s">
        <v>46</v>
      </c>
      <c r="M412" s="1" t="s">
        <v>756</v>
      </c>
      <c r="N412" s="1" t="s">
        <v>48</v>
      </c>
      <c r="O412" s="9">
        <v>8</v>
      </c>
      <c r="P412" s="1">
        <f>ROUNDUP(1300*(1-$F$3),2)</f>
        <v>1300</v>
      </c>
      <c r="Q412" s="1" t="s">
        <v>49</v>
      </c>
      <c r="R412" s="1" t="s">
        <v>2523</v>
      </c>
      <c r="S412" s="1" t="s">
        <v>2524</v>
      </c>
      <c r="T412" s="9">
        <v>10</v>
      </c>
      <c r="U412" s="1">
        <f>ROUNDUP(1181.82*(1-$F$3),2)</f>
        <v>1181.82</v>
      </c>
      <c r="V412" s="1">
        <v>483</v>
      </c>
      <c r="Y412" s="1" t="s">
        <v>2525</v>
      </c>
      <c r="Z412" s="1" t="s">
        <v>53</v>
      </c>
      <c r="AA412" s="12">
        <v>44493</v>
      </c>
      <c r="AB412" s="1" t="s">
        <v>66</v>
      </c>
      <c r="AC412" s="1" t="s">
        <v>67</v>
      </c>
      <c r="AD412" s="1" t="s">
        <v>670</v>
      </c>
      <c r="AE412" s="1" t="s">
        <v>69</v>
      </c>
      <c r="AG412" s="1">
        <v>9825550</v>
      </c>
    </row>
    <row r="413" spans="3:33" s="1" customFormat="1" x14ac:dyDescent="0.25">
      <c r="C413" s="1" t="s">
        <v>2526</v>
      </c>
      <c r="D413" s="1" t="s">
        <v>2521</v>
      </c>
      <c r="E413" s="1" t="s">
        <v>2527</v>
      </c>
      <c r="F413" s="13" t="s">
        <v>6952</v>
      </c>
      <c r="G413" s="1" t="s">
        <v>986</v>
      </c>
      <c r="H413" s="1" t="s">
        <v>160</v>
      </c>
      <c r="I413" s="1">
        <v>496</v>
      </c>
      <c r="J413" s="1" t="s">
        <v>46</v>
      </c>
      <c r="M413" s="1" t="s">
        <v>756</v>
      </c>
      <c r="N413" s="1" t="s">
        <v>48</v>
      </c>
      <c r="O413" s="9">
        <v>8</v>
      </c>
      <c r="P413" s="1">
        <f>ROUNDUP(1300*(1-$F$3),2)</f>
        <v>1300</v>
      </c>
      <c r="Q413" s="1" t="s">
        <v>49</v>
      </c>
      <c r="R413" s="1" t="s">
        <v>2528</v>
      </c>
      <c r="S413" s="1" t="s">
        <v>2529</v>
      </c>
      <c r="T413" s="9">
        <v>10</v>
      </c>
      <c r="U413" s="1">
        <f>ROUNDUP(1181.82*(1-$F$3),2)</f>
        <v>1181.82</v>
      </c>
      <c r="V413" s="1">
        <v>483</v>
      </c>
      <c r="Y413" s="1" t="s">
        <v>2530</v>
      </c>
      <c r="Z413" s="1" t="s">
        <v>53</v>
      </c>
      <c r="AA413" s="12">
        <v>44493</v>
      </c>
      <c r="AB413" s="1" t="s">
        <v>66</v>
      </c>
      <c r="AC413" s="1" t="s">
        <v>67</v>
      </c>
      <c r="AD413" s="1" t="s">
        <v>670</v>
      </c>
      <c r="AE413" s="1" t="s">
        <v>69</v>
      </c>
      <c r="AG413" s="1">
        <v>9825840</v>
      </c>
    </row>
    <row r="414" spans="3:33" s="1" customFormat="1" x14ac:dyDescent="0.25">
      <c r="C414" s="1" t="s">
        <v>2531</v>
      </c>
      <c r="D414" s="1" t="s">
        <v>2521</v>
      </c>
      <c r="E414" s="1" t="s">
        <v>2532</v>
      </c>
      <c r="F414" s="13" t="s">
        <v>6952</v>
      </c>
      <c r="G414" s="1" t="s">
        <v>986</v>
      </c>
      <c r="H414" s="1" t="s">
        <v>160</v>
      </c>
      <c r="I414" s="1">
        <v>544</v>
      </c>
      <c r="J414" s="1" t="s">
        <v>46</v>
      </c>
      <c r="M414" s="1" t="s">
        <v>161</v>
      </c>
      <c r="N414" s="1" t="s">
        <v>48</v>
      </c>
      <c r="O414" s="9">
        <v>10</v>
      </c>
      <c r="P414" s="1">
        <f>ROUNDUP(1710*(1-$F$3),2)</f>
        <v>1710</v>
      </c>
      <c r="Q414" s="1" t="s">
        <v>49</v>
      </c>
      <c r="R414" s="1" t="s">
        <v>2533</v>
      </c>
      <c r="S414" s="1" t="s">
        <v>2534</v>
      </c>
      <c r="T414" s="9">
        <v>10</v>
      </c>
      <c r="U414" s="1">
        <f>ROUNDUP(1554.55*(1-$F$3),2)</f>
        <v>1554.55</v>
      </c>
      <c r="V414" s="1">
        <v>506</v>
      </c>
      <c r="Y414" s="1" t="s">
        <v>2535</v>
      </c>
      <c r="Z414" s="1" t="s">
        <v>53</v>
      </c>
      <c r="AA414" s="12">
        <v>45011</v>
      </c>
      <c r="AB414" s="1" t="s">
        <v>66</v>
      </c>
      <c r="AC414" s="1" t="s">
        <v>67</v>
      </c>
      <c r="AD414" s="1" t="s">
        <v>180</v>
      </c>
      <c r="AE414" s="1" t="s">
        <v>69</v>
      </c>
      <c r="AG414" s="1">
        <v>10845840</v>
      </c>
    </row>
    <row r="415" spans="3:33" s="1" customFormat="1" x14ac:dyDescent="0.25">
      <c r="C415" s="1" t="s">
        <v>2536</v>
      </c>
      <c r="D415" s="1" t="s">
        <v>2521</v>
      </c>
      <c r="E415" s="1" t="s">
        <v>2537</v>
      </c>
      <c r="F415" s="13" t="s">
        <v>6952</v>
      </c>
      <c r="G415" s="1" t="s">
        <v>2538</v>
      </c>
      <c r="H415" s="1" t="s">
        <v>160</v>
      </c>
      <c r="I415" s="1">
        <v>400</v>
      </c>
      <c r="J415" s="1" t="s">
        <v>46</v>
      </c>
      <c r="M415" s="1" t="s">
        <v>169</v>
      </c>
      <c r="N415" s="1" t="s">
        <v>48</v>
      </c>
      <c r="O415" s="9">
        <v>10</v>
      </c>
      <c r="P415" s="1">
        <f>ROUNDUP(1300*(1-$F$3),2)</f>
        <v>1300</v>
      </c>
      <c r="Q415" s="1" t="s">
        <v>49</v>
      </c>
      <c r="R415" s="1" t="s">
        <v>2539</v>
      </c>
      <c r="S415" s="1" t="s">
        <v>2540</v>
      </c>
      <c r="T415" s="9">
        <v>10</v>
      </c>
      <c r="U415" s="1">
        <f>ROUNDUP(1181.82*(1-$F$3),2)</f>
        <v>1181.82</v>
      </c>
      <c r="V415" s="1">
        <v>425</v>
      </c>
      <c r="Y415" s="1" t="s">
        <v>2541</v>
      </c>
      <c r="Z415" s="1" t="s">
        <v>53</v>
      </c>
      <c r="AA415" s="12">
        <v>44678</v>
      </c>
      <c r="AB415" s="1" t="s">
        <v>66</v>
      </c>
      <c r="AC415" s="1" t="s">
        <v>67</v>
      </c>
      <c r="AD415" s="1" t="s">
        <v>180</v>
      </c>
      <c r="AE415" s="1" t="s">
        <v>69</v>
      </c>
      <c r="AG415" s="1">
        <v>10232640</v>
      </c>
    </row>
    <row r="416" spans="3:33" s="1" customFormat="1" x14ac:dyDescent="0.25">
      <c r="C416" s="1" t="s">
        <v>2542</v>
      </c>
      <c r="D416" s="1" t="s">
        <v>2521</v>
      </c>
      <c r="E416" s="1" t="s">
        <v>2543</v>
      </c>
      <c r="F416" s="13" t="s">
        <v>6952</v>
      </c>
      <c r="G416" s="1" t="s">
        <v>986</v>
      </c>
      <c r="H416" s="1" t="s">
        <v>160</v>
      </c>
      <c r="I416" s="1">
        <v>560</v>
      </c>
      <c r="J416" s="1" t="s">
        <v>46</v>
      </c>
      <c r="M416" s="1" t="s">
        <v>756</v>
      </c>
      <c r="N416" s="1" t="s">
        <v>48</v>
      </c>
      <c r="O416" s="9">
        <v>6</v>
      </c>
      <c r="P416" s="1">
        <f>ROUNDUP(1300*(1-$F$3),2)</f>
        <v>1300</v>
      </c>
      <c r="Q416" s="1" t="s">
        <v>49</v>
      </c>
      <c r="R416" s="1" t="s">
        <v>2544</v>
      </c>
      <c r="S416" s="1" t="s">
        <v>2545</v>
      </c>
      <c r="T416" s="9">
        <v>10</v>
      </c>
      <c r="U416" s="1">
        <f>ROUNDUP(1181.82*(1-$F$3),2)</f>
        <v>1181.82</v>
      </c>
      <c r="V416" s="1">
        <v>525</v>
      </c>
      <c r="Y416" s="1" t="s">
        <v>2546</v>
      </c>
      <c r="Z416" s="1" t="s">
        <v>53</v>
      </c>
      <c r="AA416" s="12">
        <v>44298</v>
      </c>
      <c r="AB416" s="1" t="s">
        <v>66</v>
      </c>
      <c r="AC416" s="1" t="s">
        <v>67</v>
      </c>
      <c r="AD416" s="1" t="s">
        <v>670</v>
      </c>
      <c r="AE416" s="1" t="s">
        <v>69</v>
      </c>
      <c r="AG416" s="1">
        <v>9672630</v>
      </c>
    </row>
    <row r="417" spans="3:33" s="1" customFormat="1" x14ac:dyDescent="0.25">
      <c r="C417" s="1" t="s">
        <v>2547</v>
      </c>
      <c r="D417" s="1" t="s">
        <v>2521</v>
      </c>
      <c r="E417" s="1" t="s">
        <v>2548</v>
      </c>
      <c r="F417" s="13" t="s">
        <v>6952</v>
      </c>
      <c r="G417" s="1" t="s">
        <v>2538</v>
      </c>
      <c r="H417" s="1" t="s">
        <v>160</v>
      </c>
      <c r="I417" s="1">
        <v>448</v>
      </c>
      <c r="J417" s="1" t="s">
        <v>46</v>
      </c>
      <c r="M417" s="1" t="s">
        <v>169</v>
      </c>
      <c r="N417" s="1" t="s">
        <v>48</v>
      </c>
      <c r="O417" s="9">
        <v>10</v>
      </c>
      <c r="P417" s="1">
        <f>ROUNDUP(1300*(1-$F$3),2)</f>
        <v>1300</v>
      </c>
      <c r="Q417" s="1" t="s">
        <v>49</v>
      </c>
      <c r="R417" s="1" t="s">
        <v>2549</v>
      </c>
      <c r="S417" s="1" t="s">
        <v>2550</v>
      </c>
      <c r="T417" s="9">
        <v>10</v>
      </c>
      <c r="U417" s="1">
        <f>ROUNDUP(1181.82*(1-$F$3),2)</f>
        <v>1181.82</v>
      </c>
      <c r="V417" s="1">
        <v>467</v>
      </c>
      <c r="Y417" s="1" t="s">
        <v>2551</v>
      </c>
      <c r="Z417" s="1" t="s">
        <v>53</v>
      </c>
      <c r="AA417" s="12">
        <v>44678</v>
      </c>
      <c r="AB417" s="1" t="s">
        <v>66</v>
      </c>
      <c r="AC417" s="1" t="s">
        <v>67</v>
      </c>
      <c r="AD417" s="1" t="s">
        <v>180</v>
      </c>
      <c r="AE417" s="1" t="s">
        <v>69</v>
      </c>
      <c r="AG417" s="1">
        <v>10166370</v>
      </c>
    </row>
    <row r="418" spans="3:33" s="1" customFormat="1" x14ac:dyDescent="0.25">
      <c r="C418" s="1" t="s">
        <v>2552</v>
      </c>
      <c r="D418" s="1" t="s">
        <v>2553</v>
      </c>
      <c r="E418" s="1" t="s">
        <v>2554</v>
      </c>
      <c r="F418" s="13" t="s">
        <v>6952</v>
      </c>
      <c r="G418" s="1" t="s">
        <v>2555</v>
      </c>
      <c r="H418" s="1" t="s">
        <v>61</v>
      </c>
      <c r="I418" s="1">
        <v>400</v>
      </c>
      <c r="J418" s="1" t="s">
        <v>46</v>
      </c>
      <c r="M418" s="1" t="s">
        <v>47</v>
      </c>
      <c r="N418" s="1" t="s">
        <v>48</v>
      </c>
      <c r="O418" s="9">
        <v>8</v>
      </c>
      <c r="P418" s="1">
        <f>ROUNDUP(1260*(1-$F$3),2)</f>
        <v>1260</v>
      </c>
      <c r="Q418" s="1" t="s">
        <v>49</v>
      </c>
      <c r="R418" s="1" t="s">
        <v>2556</v>
      </c>
      <c r="S418" s="1" t="s">
        <v>2557</v>
      </c>
      <c r="T418" s="9">
        <v>10</v>
      </c>
      <c r="U418" s="1">
        <f>ROUNDUP(1145.45*(1-$F$3),2)</f>
        <v>1145.45</v>
      </c>
      <c r="V418" s="1">
        <v>562</v>
      </c>
      <c r="Y418" s="1" t="s">
        <v>2558</v>
      </c>
      <c r="Z418" s="1" t="s">
        <v>128</v>
      </c>
      <c r="AA418" s="12">
        <v>45987</v>
      </c>
      <c r="AB418" s="1" t="s">
        <v>573</v>
      </c>
      <c r="AC418" s="1" t="s">
        <v>2559</v>
      </c>
      <c r="AD418" s="1" t="s">
        <v>2560</v>
      </c>
      <c r="AE418" s="1" t="s">
        <v>69</v>
      </c>
      <c r="AG418" s="1">
        <v>11953460</v>
      </c>
    </row>
    <row r="419" spans="3:33" s="1" customFormat="1" x14ac:dyDescent="0.25">
      <c r="C419" s="1" t="s">
        <v>2561</v>
      </c>
      <c r="D419" s="1" t="s">
        <v>2562</v>
      </c>
      <c r="E419" s="1" t="s">
        <v>2563</v>
      </c>
      <c r="F419" s="13" t="s">
        <v>6952</v>
      </c>
      <c r="G419" s="1" t="s">
        <v>2564</v>
      </c>
      <c r="H419" s="1" t="s">
        <v>637</v>
      </c>
      <c r="I419" s="1">
        <v>480</v>
      </c>
      <c r="J419" s="1" t="s">
        <v>46</v>
      </c>
      <c r="M419" s="1" t="s">
        <v>161</v>
      </c>
      <c r="N419" s="1" t="s">
        <v>48</v>
      </c>
      <c r="O419" s="9">
        <v>4</v>
      </c>
      <c r="P419" s="1">
        <f>ROUNDUP(1230*(1-$F$3),2)</f>
        <v>1230</v>
      </c>
      <c r="Q419" s="1" t="s">
        <v>49</v>
      </c>
      <c r="R419" s="1" t="s">
        <v>2565</v>
      </c>
      <c r="S419" s="1" t="s">
        <v>2566</v>
      </c>
      <c r="T419" s="9">
        <v>10</v>
      </c>
      <c r="U419" s="1">
        <f>ROUNDUP(1118.18*(1-$F$3),2)</f>
        <v>1118.18</v>
      </c>
      <c r="V419" s="1">
        <v>659</v>
      </c>
      <c r="Y419" s="1" t="s">
        <v>2567</v>
      </c>
      <c r="Z419" s="1" t="s">
        <v>128</v>
      </c>
      <c r="AA419" s="12">
        <v>45164</v>
      </c>
      <c r="AB419" s="1" t="s">
        <v>66</v>
      </c>
      <c r="AC419" s="1" t="s">
        <v>2568</v>
      </c>
      <c r="AD419" s="1" t="s">
        <v>2568</v>
      </c>
      <c r="AE419" s="1" t="s">
        <v>2569</v>
      </c>
      <c r="AG419" s="1">
        <v>11030290</v>
      </c>
    </row>
    <row r="420" spans="3:33" s="1" customFormat="1" x14ac:dyDescent="0.25">
      <c r="C420" s="1" t="s">
        <v>2570</v>
      </c>
      <c r="D420" s="1" t="s">
        <v>2562</v>
      </c>
      <c r="E420" s="1" t="s">
        <v>2571</v>
      </c>
      <c r="F420" s="13" t="s">
        <v>6952</v>
      </c>
      <c r="G420" s="1" t="s">
        <v>2572</v>
      </c>
      <c r="H420" s="1" t="s">
        <v>637</v>
      </c>
      <c r="I420" s="1">
        <v>696</v>
      </c>
      <c r="J420" s="1" t="s">
        <v>46</v>
      </c>
      <c r="M420" s="1" t="s">
        <v>161</v>
      </c>
      <c r="N420" s="1" t="s">
        <v>48</v>
      </c>
      <c r="O420" s="9">
        <v>3</v>
      </c>
      <c r="P420" s="1">
        <f>ROUNDUP(1690*(1-$F$3),2)</f>
        <v>1690</v>
      </c>
      <c r="Q420" s="1" t="s">
        <v>49</v>
      </c>
      <c r="R420" s="1" t="s">
        <v>2573</v>
      </c>
      <c r="S420" s="1" t="s">
        <v>2574</v>
      </c>
      <c r="T420" s="9">
        <v>10</v>
      </c>
      <c r="U420" s="1">
        <f>ROUNDUP(1536.36*(1-$F$3),2)</f>
        <v>1536.36</v>
      </c>
      <c r="V420" s="1">
        <v>1122</v>
      </c>
      <c r="Y420" s="1" t="s">
        <v>2575</v>
      </c>
      <c r="Z420" s="1" t="s">
        <v>53</v>
      </c>
      <c r="AA420" s="12">
        <v>44962</v>
      </c>
      <c r="AB420" s="1" t="s">
        <v>66</v>
      </c>
      <c r="AC420" s="1" t="s">
        <v>2568</v>
      </c>
      <c r="AD420" s="1" t="s">
        <v>2568</v>
      </c>
      <c r="AE420" s="1" t="s">
        <v>69</v>
      </c>
      <c r="AG420" s="1">
        <v>10809730</v>
      </c>
    </row>
    <row r="421" spans="3:33" s="1" customFormat="1" x14ac:dyDescent="0.25">
      <c r="C421" s="1" t="s">
        <v>2576</v>
      </c>
      <c r="D421" s="1" t="s">
        <v>2577</v>
      </c>
      <c r="E421" s="1" t="s">
        <v>2578</v>
      </c>
      <c r="F421" s="13" t="s">
        <v>6952</v>
      </c>
      <c r="G421" s="1" t="s">
        <v>569</v>
      </c>
      <c r="H421" s="1" t="s">
        <v>2579</v>
      </c>
      <c r="I421" s="1">
        <v>64</v>
      </c>
      <c r="J421" s="1" t="s">
        <v>46</v>
      </c>
      <c r="M421" s="1" t="s">
        <v>169</v>
      </c>
      <c r="N421" s="1" t="s">
        <v>48</v>
      </c>
      <c r="O421" s="9">
        <v>15</v>
      </c>
      <c r="P421" s="1">
        <f>ROUNDUP(1200*(1-$F$3),2)</f>
        <v>1200</v>
      </c>
      <c r="Q421" s="1" t="s">
        <v>49</v>
      </c>
      <c r="R421" s="1" t="s">
        <v>2580</v>
      </c>
      <c r="S421" s="1" t="s">
        <v>2581</v>
      </c>
      <c r="T421" s="9">
        <v>10</v>
      </c>
      <c r="U421" s="1">
        <f>ROUNDUP(1090.91*(1-$F$3),2)</f>
        <v>1090.9100000000001</v>
      </c>
      <c r="V421" s="1">
        <v>321</v>
      </c>
      <c r="Y421" s="1" t="s">
        <v>2582</v>
      </c>
      <c r="Z421" s="1" t="s">
        <v>1757</v>
      </c>
      <c r="AA421" s="12">
        <v>44834</v>
      </c>
      <c r="AB421" s="1" t="s">
        <v>573</v>
      </c>
      <c r="AC421" s="1" t="s">
        <v>66</v>
      </c>
      <c r="AD421" s="1" t="s">
        <v>712</v>
      </c>
      <c r="AE421" s="1" t="s">
        <v>69</v>
      </c>
      <c r="AG421" s="1">
        <v>10560370</v>
      </c>
    </row>
    <row r="422" spans="3:33" s="1" customFormat="1" x14ac:dyDescent="0.25">
      <c r="C422" s="1" t="s">
        <v>2583</v>
      </c>
      <c r="D422" s="1" t="s">
        <v>2577</v>
      </c>
      <c r="E422" s="1" t="s">
        <v>2584</v>
      </c>
      <c r="F422" s="13" t="s">
        <v>6952</v>
      </c>
      <c r="G422" s="1" t="s">
        <v>569</v>
      </c>
      <c r="H422" s="1" t="s">
        <v>2579</v>
      </c>
      <c r="I422" s="1">
        <v>64</v>
      </c>
      <c r="J422" s="1" t="s">
        <v>46</v>
      </c>
      <c r="M422" s="1" t="s">
        <v>169</v>
      </c>
      <c r="N422" s="1" t="s">
        <v>48</v>
      </c>
      <c r="O422" s="9">
        <v>15</v>
      </c>
      <c r="P422" s="1">
        <f>ROUNDUP(1200*(1-$F$3),2)</f>
        <v>1200</v>
      </c>
      <c r="Q422" s="1" t="s">
        <v>49</v>
      </c>
      <c r="R422" s="1" t="s">
        <v>2585</v>
      </c>
      <c r="S422" s="1" t="s">
        <v>2586</v>
      </c>
      <c r="T422" s="9">
        <v>10</v>
      </c>
      <c r="U422" s="1">
        <f>ROUNDUP(1090.91*(1-$F$3),2)</f>
        <v>1090.9100000000001</v>
      </c>
      <c r="V422" s="1">
        <v>321</v>
      </c>
      <c r="Y422" s="1" t="s">
        <v>2587</v>
      </c>
      <c r="Z422" s="1" t="s">
        <v>1757</v>
      </c>
      <c r="AA422" s="12">
        <v>44860</v>
      </c>
      <c r="AB422" s="1" t="s">
        <v>573</v>
      </c>
      <c r="AC422" s="1" t="s">
        <v>66</v>
      </c>
      <c r="AD422" s="1" t="s">
        <v>712</v>
      </c>
      <c r="AE422" s="1" t="s">
        <v>69</v>
      </c>
      <c r="AG422" s="1">
        <v>10649370</v>
      </c>
    </row>
    <row r="423" spans="3:33" s="1" customFormat="1" x14ac:dyDescent="0.25">
      <c r="C423" s="1" t="s">
        <v>2588</v>
      </c>
      <c r="D423" s="1" t="s">
        <v>2577</v>
      </c>
      <c r="E423" s="1" t="s">
        <v>2589</v>
      </c>
      <c r="F423" s="13" t="s">
        <v>6952</v>
      </c>
      <c r="G423" s="1" t="s">
        <v>569</v>
      </c>
      <c r="H423" s="1" t="s">
        <v>2579</v>
      </c>
      <c r="I423" s="1">
        <v>64</v>
      </c>
      <c r="J423" s="1" t="s">
        <v>46</v>
      </c>
      <c r="M423" s="1" t="s">
        <v>169</v>
      </c>
      <c r="N423" s="1" t="s">
        <v>48</v>
      </c>
      <c r="O423" s="9">
        <v>15</v>
      </c>
      <c r="P423" s="1">
        <f>ROUNDUP(1200*(1-$F$3),2)</f>
        <v>1200</v>
      </c>
      <c r="Q423" s="1" t="s">
        <v>49</v>
      </c>
      <c r="R423" s="1" t="s">
        <v>2590</v>
      </c>
      <c r="S423" s="1" t="s">
        <v>2591</v>
      </c>
      <c r="T423" s="9">
        <v>10</v>
      </c>
      <c r="U423" s="1">
        <f>ROUNDUP(1090.91*(1-$F$3),2)</f>
        <v>1090.9100000000001</v>
      </c>
      <c r="V423" s="1">
        <v>323</v>
      </c>
      <c r="Y423" s="1" t="s">
        <v>2592</v>
      </c>
      <c r="Z423" s="1" t="s">
        <v>1757</v>
      </c>
      <c r="AA423" s="12">
        <v>44834</v>
      </c>
      <c r="AB423" s="1" t="s">
        <v>573</v>
      </c>
      <c r="AC423" s="1" t="s">
        <v>66</v>
      </c>
      <c r="AD423" s="1" t="s">
        <v>712</v>
      </c>
      <c r="AE423" s="1" t="s">
        <v>69</v>
      </c>
      <c r="AG423" s="1">
        <v>10566060</v>
      </c>
    </row>
    <row r="424" spans="3:33" s="1" customFormat="1" x14ac:dyDescent="0.25">
      <c r="C424" s="1" t="s">
        <v>2593</v>
      </c>
      <c r="D424" s="1" t="s">
        <v>2577</v>
      </c>
      <c r="E424" s="1" t="s">
        <v>2594</v>
      </c>
      <c r="F424" s="13" t="s">
        <v>6952</v>
      </c>
      <c r="G424" s="1" t="s">
        <v>569</v>
      </c>
      <c r="H424" s="1" t="s">
        <v>2579</v>
      </c>
      <c r="I424" s="1">
        <v>64</v>
      </c>
      <c r="J424" s="1" t="s">
        <v>46</v>
      </c>
      <c r="M424" s="1" t="s">
        <v>169</v>
      </c>
      <c r="N424" s="1" t="s">
        <v>48</v>
      </c>
      <c r="O424" s="9">
        <v>15</v>
      </c>
      <c r="P424" s="1">
        <f>ROUNDUP(1200*(1-$F$3),2)</f>
        <v>1200</v>
      </c>
      <c r="Q424" s="1" t="s">
        <v>49</v>
      </c>
      <c r="R424" s="1" t="s">
        <v>2595</v>
      </c>
      <c r="S424" s="1" t="s">
        <v>2596</v>
      </c>
      <c r="T424" s="9">
        <v>10</v>
      </c>
      <c r="U424" s="1">
        <f>ROUNDUP(1090.91*(1-$F$3),2)</f>
        <v>1090.9100000000001</v>
      </c>
      <c r="V424" s="1">
        <v>321</v>
      </c>
      <c r="Y424" s="1" t="s">
        <v>2597</v>
      </c>
      <c r="Z424" s="1" t="s">
        <v>1757</v>
      </c>
      <c r="AA424" s="12">
        <v>44834</v>
      </c>
      <c r="AB424" s="1" t="s">
        <v>573</v>
      </c>
      <c r="AC424" s="1" t="s">
        <v>66</v>
      </c>
      <c r="AD424" s="1" t="s">
        <v>712</v>
      </c>
      <c r="AE424" s="1" t="s">
        <v>69</v>
      </c>
      <c r="AG424" s="1">
        <v>10567470</v>
      </c>
    </row>
    <row r="425" spans="3:33" s="1" customFormat="1" x14ac:dyDescent="0.25">
      <c r="C425" s="1" t="s">
        <v>2598</v>
      </c>
      <c r="D425" s="1" t="s">
        <v>2577</v>
      </c>
      <c r="E425" s="1" t="s">
        <v>2599</v>
      </c>
      <c r="F425" s="13" t="s">
        <v>6952</v>
      </c>
      <c r="G425" s="1" t="s">
        <v>569</v>
      </c>
      <c r="H425" s="1" t="s">
        <v>2579</v>
      </c>
      <c r="I425" s="1">
        <v>64</v>
      </c>
      <c r="J425" s="1" t="s">
        <v>46</v>
      </c>
      <c r="M425" s="1" t="s">
        <v>169</v>
      </c>
      <c r="N425" s="1" t="s">
        <v>48</v>
      </c>
      <c r="O425" s="9">
        <v>15</v>
      </c>
      <c r="P425" s="1">
        <f>ROUNDUP(1200*(1-$F$3),2)</f>
        <v>1200</v>
      </c>
      <c r="Q425" s="1" t="s">
        <v>49</v>
      </c>
      <c r="R425" s="1" t="s">
        <v>2600</v>
      </c>
      <c r="S425" s="1" t="s">
        <v>2601</v>
      </c>
      <c r="T425" s="9">
        <v>10</v>
      </c>
      <c r="U425" s="1">
        <f>ROUNDUP(1090.91*(1-$F$3),2)</f>
        <v>1090.9100000000001</v>
      </c>
      <c r="V425" s="1">
        <v>317</v>
      </c>
      <c r="Y425" s="1" t="s">
        <v>2602</v>
      </c>
      <c r="Z425" s="1" t="s">
        <v>1757</v>
      </c>
      <c r="AA425" s="12">
        <v>44860</v>
      </c>
      <c r="AB425" s="1" t="s">
        <v>573</v>
      </c>
      <c r="AC425" s="1" t="s">
        <v>66</v>
      </c>
      <c r="AD425" s="1" t="s">
        <v>712</v>
      </c>
      <c r="AE425" s="1" t="s">
        <v>69</v>
      </c>
      <c r="AG425" s="1">
        <v>10631020</v>
      </c>
    </row>
    <row r="426" spans="3:33" s="1" customFormat="1" x14ac:dyDescent="0.25">
      <c r="C426" s="1" t="s">
        <v>2603</v>
      </c>
      <c r="D426" s="1" t="s">
        <v>2604</v>
      </c>
      <c r="E426" s="1" t="s">
        <v>2605</v>
      </c>
      <c r="F426" s="13" t="s">
        <v>6952</v>
      </c>
      <c r="G426" s="1" t="s">
        <v>2606</v>
      </c>
      <c r="H426" s="1" t="s">
        <v>61</v>
      </c>
      <c r="I426" s="1">
        <v>288</v>
      </c>
      <c r="J426" s="1" t="s">
        <v>46</v>
      </c>
      <c r="M426" s="1" t="s">
        <v>756</v>
      </c>
      <c r="N426" s="1" t="s">
        <v>48</v>
      </c>
      <c r="O426" s="9">
        <v>14</v>
      </c>
      <c r="P426" s="1">
        <f>ROUNDUP(950*(1-$F$3),2)</f>
        <v>950</v>
      </c>
      <c r="Q426" s="1" t="s">
        <v>49</v>
      </c>
      <c r="R426" s="1" t="s">
        <v>2607</v>
      </c>
      <c r="S426" s="1" t="s">
        <v>2608</v>
      </c>
      <c r="T426" s="9">
        <v>10</v>
      </c>
      <c r="U426" s="1">
        <f>ROUNDUP(863.64*(1-$F$3),2)</f>
        <v>863.64</v>
      </c>
      <c r="V426" s="1">
        <v>397</v>
      </c>
      <c r="Y426" s="1" t="s">
        <v>2609</v>
      </c>
      <c r="Z426" s="1" t="s">
        <v>128</v>
      </c>
      <c r="AA426" s="12">
        <v>44189</v>
      </c>
      <c r="AB426" s="1" t="s">
        <v>66</v>
      </c>
      <c r="AC426" s="1" t="s">
        <v>67</v>
      </c>
      <c r="AD426" s="1" t="s">
        <v>670</v>
      </c>
      <c r="AE426" s="1" t="s">
        <v>69</v>
      </c>
      <c r="AG426" s="1">
        <v>9585890</v>
      </c>
    </row>
    <row r="427" spans="3:33" s="1" customFormat="1" x14ac:dyDescent="0.25">
      <c r="C427" s="1" t="s">
        <v>2610</v>
      </c>
      <c r="D427" s="1" t="s">
        <v>2611</v>
      </c>
      <c r="E427" s="1" t="s">
        <v>2612</v>
      </c>
      <c r="F427" s="13" t="s">
        <v>6952</v>
      </c>
      <c r="G427" s="1" t="s">
        <v>309</v>
      </c>
      <c r="H427" s="1" t="s">
        <v>637</v>
      </c>
      <c r="I427" s="1">
        <v>512</v>
      </c>
      <c r="J427" s="1" t="s">
        <v>46</v>
      </c>
      <c r="K427" s="1" t="s">
        <v>261</v>
      </c>
      <c r="M427" s="1" t="s">
        <v>169</v>
      </c>
      <c r="N427" s="1" t="s">
        <v>48</v>
      </c>
      <c r="O427" s="9">
        <v>8</v>
      </c>
      <c r="P427" s="1">
        <f>ROUNDUP(1820*(1-$F$3),2)</f>
        <v>1820</v>
      </c>
      <c r="Q427" s="1" t="s">
        <v>49</v>
      </c>
      <c r="R427" s="1" t="s">
        <v>2613</v>
      </c>
      <c r="S427" s="1" t="s">
        <v>2614</v>
      </c>
      <c r="T427" s="9">
        <v>10</v>
      </c>
      <c r="U427" s="1">
        <f>ROUNDUP(1654.55*(1-$F$3),2)</f>
        <v>1654.55</v>
      </c>
      <c r="V427" s="1">
        <v>748</v>
      </c>
      <c r="Y427" s="1" t="s">
        <v>2615</v>
      </c>
      <c r="Z427" s="1" t="s">
        <v>53</v>
      </c>
      <c r="AA427" s="12">
        <v>44634</v>
      </c>
      <c r="AB427" s="1" t="s">
        <v>234</v>
      </c>
      <c r="AC427" s="1" t="s">
        <v>528</v>
      </c>
      <c r="AD427" s="1" t="s">
        <v>2616</v>
      </c>
      <c r="AE427" s="1" t="s">
        <v>69</v>
      </c>
      <c r="AG427" s="1">
        <v>10021680</v>
      </c>
    </row>
    <row r="428" spans="3:33" s="1" customFormat="1" x14ac:dyDescent="0.25">
      <c r="C428" s="1" t="s">
        <v>2617</v>
      </c>
      <c r="D428" s="1" t="s">
        <v>2618</v>
      </c>
      <c r="E428" s="1" t="s">
        <v>2619</v>
      </c>
      <c r="F428" s="13" t="s">
        <v>6952</v>
      </c>
      <c r="G428" s="1" t="s">
        <v>2620</v>
      </c>
      <c r="H428" s="1" t="s">
        <v>61</v>
      </c>
      <c r="I428" s="1">
        <v>208</v>
      </c>
      <c r="J428" s="1" t="s">
        <v>46</v>
      </c>
      <c r="M428" s="1" t="s">
        <v>987</v>
      </c>
      <c r="N428" s="1" t="s">
        <v>48</v>
      </c>
      <c r="O428" s="9">
        <v>12</v>
      </c>
      <c r="P428" s="1">
        <f>ROUNDUP(1060*(1-$F$3),2)</f>
        <v>1060</v>
      </c>
      <c r="Q428" s="1" t="s">
        <v>49</v>
      </c>
      <c r="R428" s="1" t="s">
        <v>2621</v>
      </c>
      <c r="S428" s="1" t="s">
        <v>2622</v>
      </c>
      <c r="T428" s="9">
        <v>10</v>
      </c>
      <c r="U428" s="1">
        <f>ROUNDUP(963.64*(1-$F$3),2)</f>
        <v>963.64</v>
      </c>
      <c r="V428" s="1">
        <v>353</v>
      </c>
      <c r="Y428" s="1" t="s">
        <v>2623</v>
      </c>
      <c r="Z428" s="1" t="s">
        <v>128</v>
      </c>
      <c r="AA428" s="12">
        <v>42971</v>
      </c>
      <c r="AB428" s="1" t="s">
        <v>66</v>
      </c>
      <c r="AC428" s="1" t="s">
        <v>143</v>
      </c>
      <c r="AD428" s="1" t="s">
        <v>847</v>
      </c>
      <c r="AE428" s="1" t="s">
        <v>69</v>
      </c>
      <c r="AG428" s="1">
        <v>8221760</v>
      </c>
    </row>
    <row r="429" spans="3:33" s="1" customFormat="1" x14ac:dyDescent="0.25">
      <c r="C429" s="1" t="s">
        <v>2624</v>
      </c>
      <c r="D429" s="1" t="s">
        <v>2625</v>
      </c>
      <c r="E429" s="1" t="s">
        <v>842</v>
      </c>
      <c r="F429" s="13" t="s">
        <v>6952</v>
      </c>
      <c r="G429" s="1" t="s">
        <v>843</v>
      </c>
      <c r="H429" s="1" t="s">
        <v>61</v>
      </c>
      <c r="I429" s="1">
        <v>464</v>
      </c>
      <c r="J429" s="1" t="s">
        <v>46</v>
      </c>
      <c r="K429" s="1" t="s">
        <v>1566</v>
      </c>
      <c r="M429" s="1" t="s">
        <v>62</v>
      </c>
      <c r="N429" s="1" t="s">
        <v>48</v>
      </c>
      <c r="O429" s="9">
        <v>6</v>
      </c>
      <c r="P429" s="1">
        <f>ROUNDUP(1190*(1-$F$3),2)</f>
        <v>1190</v>
      </c>
      <c r="Q429" s="1" t="s">
        <v>49</v>
      </c>
      <c r="R429" s="1" t="s">
        <v>2626</v>
      </c>
      <c r="S429" s="1" t="s">
        <v>2627</v>
      </c>
      <c r="T429" s="9">
        <v>10</v>
      </c>
      <c r="U429" s="1">
        <f>ROUNDUP(1081.82*(1-$F$3),2)</f>
        <v>1081.82</v>
      </c>
      <c r="V429" s="1">
        <v>491</v>
      </c>
      <c r="Y429" s="1" t="s">
        <v>846</v>
      </c>
      <c r="Z429" s="1" t="s">
        <v>53</v>
      </c>
      <c r="AA429" s="12">
        <v>43694</v>
      </c>
      <c r="AB429" s="1" t="s">
        <v>66</v>
      </c>
      <c r="AC429" s="1" t="s">
        <v>143</v>
      </c>
      <c r="AD429" s="1" t="s">
        <v>847</v>
      </c>
      <c r="AE429" s="1" t="s">
        <v>69</v>
      </c>
      <c r="AG429" s="1">
        <v>9111480</v>
      </c>
    </row>
    <row r="430" spans="3:33" s="1" customFormat="1" x14ac:dyDescent="0.25">
      <c r="C430" s="1" t="s">
        <v>2628</v>
      </c>
      <c r="D430" s="1" t="s">
        <v>2629</v>
      </c>
      <c r="E430" s="1" t="s">
        <v>2630</v>
      </c>
      <c r="F430" s="13" t="s">
        <v>6952</v>
      </c>
      <c r="G430" s="1" t="s">
        <v>2631</v>
      </c>
      <c r="H430" s="1" t="s">
        <v>160</v>
      </c>
      <c r="I430" s="1">
        <v>312</v>
      </c>
      <c r="J430" s="1" t="s">
        <v>46</v>
      </c>
      <c r="M430" s="1" t="s">
        <v>169</v>
      </c>
      <c r="N430" s="1" t="s">
        <v>48</v>
      </c>
      <c r="O430" s="9">
        <v>14</v>
      </c>
      <c r="P430" s="1">
        <f>ROUNDUP(1090*(1-$F$3),2)</f>
        <v>1090</v>
      </c>
      <c r="Q430" s="1" t="s">
        <v>49</v>
      </c>
      <c r="R430" s="1" t="s">
        <v>2632</v>
      </c>
      <c r="S430" s="1" t="s">
        <v>2633</v>
      </c>
      <c r="T430" s="9">
        <v>10</v>
      </c>
      <c r="U430" s="1">
        <f>ROUNDUP(990.91*(1-$F$3),2)</f>
        <v>990.91</v>
      </c>
      <c r="V430" s="1">
        <v>358</v>
      </c>
      <c r="Y430" s="1" t="s">
        <v>2634</v>
      </c>
      <c r="Z430" s="1" t="s">
        <v>53</v>
      </c>
      <c r="AA430" s="12">
        <v>44383</v>
      </c>
      <c r="AB430" s="1" t="s">
        <v>66</v>
      </c>
      <c r="AC430" s="1" t="s">
        <v>491</v>
      </c>
      <c r="AD430" s="1" t="s">
        <v>1509</v>
      </c>
      <c r="AE430" s="1" t="s">
        <v>69</v>
      </c>
      <c r="AG430" s="1">
        <v>9752030</v>
      </c>
    </row>
    <row r="431" spans="3:33" s="1" customFormat="1" x14ac:dyDescent="0.25">
      <c r="C431" s="1" t="s">
        <v>2635</v>
      </c>
      <c r="D431" s="1" t="s">
        <v>2636</v>
      </c>
      <c r="E431" s="1" t="s">
        <v>2637</v>
      </c>
      <c r="F431" s="13" t="s">
        <v>6952</v>
      </c>
      <c r="G431" s="1" t="s">
        <v>2638</v>
      </c>
      <c r="H431" s="1" t="s">
        <v>61</v>
      </c>
      <c r="I431" s="1">
        <v>432</v>
      </c>
      <c r="J431" s="1" t="s">
        <v>46</v>
      </c>
      <c r="M431" s="1" t="s">
        <v>987</v>
      </c>
      <c r="N431" s="1" t="s">
        <v>48</v>
      </c>
      <c r="O431" s="9">
        <v>8</v>
      </c>
      <c r="P431" s="1">
        <f>ROUNDUP(1240*(1-$F$3),2)</f>
        <v>1240</v>
      </c>
      <c r="Q431" s="1" t="s">
        <v>49</v>
      </c>
      <c r="R431" s="1" t="s">
        <v>2639</v>
      </c>
      <c r="S431" s="1" t="s">
        <v>2640</v>
      </c>
      <c r="T431" s="9">
        <v>10</v>
      </c>
      <c r="U431" s="1">
        <f>ROUNDUP(1127.27*(1-$F$3),2)</f>
        <v>1127.27</v>
      </c>
      <c r="V431" s="1">
        <v>509</v>
      </c>
      <c r="Y431" s="1" t="s">
        <v>2641</v>
      </c>
      <c r="Z431" s="1" t="s">
        <v>53</v>
      </c>
      <c r="AA431" s="12">
        <v>42988</v>
      </c>
      <c r="AB431" s="1" t="s">
        <v>728</v>
      </c>
      <c r="AC431" s="1" t="s">
        <v>2642</v>
      </c>
      <c r="AD431" s="1" t="s">
        <v>2643</v>
      </c>
      <c r="AE431" s="1" t="s">
        <v>69</v>
      </c>
      <c r="AG431" s="1">
        <v>8229240</v>
      </c>
    </row>
    <row r="432" spans="3:33" s="1" customFormat="1" x14ac:dyDescent="0.25">
      <c r="C432" s="1" t="s">
        <v>2644</v>
      </c>
      <c r="D432" s="1" t="s">
        <v>2645</v>
      </c>
      <c r="E432" s="1" t="s">
        <v>2646</v>
      </c>
      <c r="F432" s="13" t="s">
        <v>6952</v>
      </c>
      <c r="G432" s="1" t="s">
        <v>843</v>
      </c>
      <c r="H432" s="1" t="s">
        <v>2017</v>
      </c>
      <c r="I432" s="1">
        <v>320</v>
      </c>
      <c r="J432" s="1" t="s">
        <v>46</v>
      </c>
      <c r="M432" s="1" t="s">
        <v>47</v>
      </c>
      <c r="N432" s="1" t="s">
        <v>139</v>
      </c>
      <c r="O432" s="9">
        <v>5</v>
      </c>
      <c r="P432" s="1">
        <f>ROUNDUP(790*(1-$F$3),2)</f>
        <v>790</v>
      </c>
      <c r="Q432" s="1" t="s">
        <v>49</v>
      </c>
      <c r="R432" s="1" t="s">
        <v>2647</v>
      </c>
      <c r="S432" s="1" t="s">
        <v>2648</v>
      </c>
      <c r="T432" s="9">
        <v>10</v>
      </c>
      <c r="U432" s="1">
        <f>ROUNDUP(718.18*(1-$F$3),2)</f>
        <v>718.18</v>
      </c>
      <c r="V432" s="1">
        <v>219</v>
      </c>
      <c r="Y432" s="1" t="s">
        <v>2649</v>
      </c>
      <c r="Z432" s="1" t="s">
        <v>53</v>
      </c>
      <c r="AA432" s="12">
        <v>44766</v>
      </c>
      <c r="AB432" s="1" t="s">
        <v>95</v>
      </c>
      <c r="AC432" s="1" t="s">
        <v>112</v>
      </c>
      <c r="AD432" s="1" t="s">
        <v>243</v>
      </c>
      <c r="AE432" s="1" t="s">
        <v>69</v>
      </c>
      <c r="AG432" s="1">
        <v>10556480</v>
      </c>
    </row>
    <row r="433" spans="3:33" s="1" customFormat="1" x14ac:dyDescent="0.25">
      <c r="C433" s="1" t="s">
        <v>2650</v>
      </c>
      <c r="D433" s="1" t="s">
        <v>2645</v>
      </c>
      <c r="E433" s="1" t="s">
        <v>842</v>
      </c>
      <c r="F433" s="13" t="s">
        <v>6952</v>
      </c>
      <c r="G433" s="1" t="s">
        <v>843</v>
      </c>
      <c r="H433" s="1" t="s">
        <v>61</v>
      </c>
      <c r="I433" s="1">
        <v>464</v>
      </c>
      <c r="J433" s="1" t="s">
        <v>46</v>
      </c>
      <c r="M433" s="1" t="s">
        <v>47</v>
      </c>
      <c r="N433" s="1" t="s">
        <v>48</v>
      </c>
      <c r="O433" s="9">
        <v>8</v>
      </c>
      <c r="P433" s="1">
        <f>ROUNDUP(1370*(1-$F$3),2)</f>
        <v>1370</v>
      </c>
      <c r="Q433" s="1" t="s">
        <v>49</v>
      </c>
      <c r="R433" s="1" t="s">
        <v>2651</v>
      </c>
      <c r="S433" s="1" t="s">
        <v>2652</v>
      </c>
      <c r="T433" s="9">
        <v>10</v>
      </c>
      <c r="U433" s="1">
        <f>ROUNDUP(1245.45*(1-$F$3),2)</f>
        <v>1245.45</v>
      </c>
      <c r="V433" s="1">
        <v>506</v>
      </c>
      <c r="Y433" s="1" t="s">
        <v>846</v>
      </c>
      <c r="Z433" s="1" t="s">
        <v>53</v>
      </c>
      <c r="AA433" s="12">
        <v>44558</v>
      </c>
      <c r="AB433" s="1" t="s">
        <v>66</v>
      </c>
      <c r="AC433" s="1" t="s">
        <v>143</v>
      </c>
      <c r="AD433" s="1" t="s">
        <v>847</v>
      </c>
      <c r="AE433" s="1" t="s">
        <v>69</v>
      </c>
      <c r="AG433" s="1">
        <v>10225460</v>
      </c>
    </row>
    <row r="434" spans="3:33" s="1" customFormat="1" x14ac:dyDescent="0.25">
      <c r="C434" s="1" t="s">
        <v>2653</v>
      </c>
      <c r="D434" s="1" t="s">
        <v>2645</v>
      </c>
      <c r="E434" s="1" t="s">
        <v>1482</v>
      </c>
      <c r="F434" s="13" t="s">
        <v>6952</v>
      </c>
      <c r="G434" s="1" t="s">
        <v>843</v>
      </c>
      <c r="H434" s="1" t="s">
        <v>61</v>
      </c>
      <c r="I434" s="1">
        <v>498</v>
      </c>
      <c r="J434" s="1" t="s">
        <v>46</v>
      </c>
      <c r="K434" s="1" t="s">
        <v>261</v>
      </c>
      <c r="M434" s="1" t="s">
        <v>62</v>
      </c>
      <c r="N434" s="1" t="s">
        <v>48</v>
      </c>
      <c r="O434" s="9">
        <v>8</v>
      </c>
      <c r="P434" s="1">
        <f>ROUNDUP(1560*(1-$F$3),2)</f>
        <v>1560</v>
      </c>
      <c r="Q434" s="1" t="s">
        <v>49</v>
      </c>
      <c r="R434" s="1" t="s">
        <v>2654</v>
      </c>
      <c r="S434" s="1" t="s">
        <v>2655</v>
      </c>
      <c r="T434" s="9">
        <v>10</v>
      </c>
      <c r="U434" s="1">
        <f>ROUNDUP(1418.18*(1-$F$3),2)</f>
        <v>1418.18</v>
      </c>
      <c r="V434" s="1">
        <v>585</v>
      </c>
      <c r="Y434" s="1" t="s">
        <v>1485</v>
      </c>
      <c r="Z434" s="1" t="s">
        <v>53</v>
      </c>
      <c r="AA434" s="12">
        <v>44637</v>
      </c>
      <c r="AB434" s="1" t="s">
        <v>66</v>
      </c>
      <c r="AC434" s="1" t="s">
        <v>143</v>
      </c>
      <c r="AD434" s="1" t="s">
        <v>847</v>
      </c>
      <c r="AE434" s="1" t="s">
        <v>69</v>
      </c>
      <c r="AG434" s="1">
        <v>10384460</v>
      </c>
    </row>
    <row r="435" spans="3:33" s="1" customFormat="1" x14ac:dyDescent="0.25">
      <c r="C435" s="1" t="s">
        <v>2656</v>
      </c>
      <c r="D435" s="1" t="s">
        <v>2645</v>
      </c>
      <c r="E435" s="1" t="s">
        <v>2657</v>
      </c>
      <c r="F435" s="13" t="s">
        <v>6952</v>
      </c>
      <c r="G435" s="1" t="s">
        <v>843</v>
      </c>
      <c r="H435" s="1" t="s">
        <v>61</v>
      </c>
      <c r="I435" s="1">
        <v>288</v>
      </c>
      <c r="J435" s="1" t="s">
        <v>46</v>
      </c>
      <c r="K435" s="1" t="s">
        <v>261</v>
      </c>
      <c r="M435" s="1" t="s">
        <v>169</v>
      </c>
      <c r="N435" s="1" t="s">
        <v>48</v>
      </c>
      <c r="O435" s="9">
        <v>12</v>
      </c>
      <c r="P435" s="1">
        <f>ROUNDUP(960*(1-$F$3),2)</f>
        <v>960</v>
      </c>
      <c r="Q435" s="1" t="s">
        <v>49</v>
      </c>
      <c r="R435" s="1" t="s">
        <v>2658</v>
      </c>
      <c r="S435" s="1" t="s">
        <v>2659</v>
      </c>
      <c r="T435" s="9">
        <v>10</v>
      </c>
      <c r="U435" s="1">
        <f>ROUNDUP(872.73*(1-$F$3),2)</f>
        <v>872.73</v>
      </c>
      <c r="V435" s="1">
        <v>366</v>
      </c>
      <c r="Y435" s="1" t="s">
        <v>2660</v>
      </c>
      <c r="Z435" s="1" t="s">
        <v>53</v>
      </c>
      <c r="AA435" s="12">
        <v>44637</v>
      </c>
      <c r="AB435" s="1" t="s">
        <v>66</v>
      </c>
      <c r="AC435" s="1" t="s">
        <v>143</v>
      </c>
      <c r="AD435" s="1" t="s">
        <v>847</v>
      </c>
      <c r="AE435" s="1" t="s">
        <v>69</v>
      </c>
      <c r="AG435" s="1">
        <v>10384390</v>
      </c>
    </row>
    <row r="436" spans="3:33" s="1" customFormat="1" x14ac:dyDescent="0.25">
      <c r="C436" s="1" t="s">
        <v>2661</v>
      </c>
      <c r="D436" s="1" t="s">
        <v>2662</v>
      </c>
      <c r="E436" s="1" t="s">
        <v>842</v>
      </c>
      <c r="F436" s="13" t="s">
        <v>6952</v>
      </c>
      <c r="G436" s="1" t="s">
        <v>843</v>
      </c>
      <c r="H436" s="1" t="s">
        <v>61</v>
      </c>
      <c r="I436" s="1">
        <v>512</v>
      </c>
      <c r="J436" s="1" t="s">
        <v>46</v>
      </c>
      <c r="M436" s="1" t="s">
        <v>47</v>
      </c>
      <c r="N436" s="1" t="s">
        <v>139</v>
      </c>
      <c r="O436" s="9">
        <v>12</v>
      </c>
      <c r="P436" s="1">
        <f>ROUNDUP(1040*(1-$F$3),2)</f>
        <v>1040</v>
      </c>
      <c r="Q436" s="1" t="s">
        <v>49</v>
      </c>
      <c r="R436" s="1" t="s">
        <v>2663</v>
      </c>
      <c r="S436" s="1" t="s">
        <v>2664</v>
      </c>
      <c r="T436" s="9">
        <v>10</v>
      </c>
      <c r="U436" s="1">
        <f>ROUNDUP(945.45*(1-$F$3),2)</f>
        <v>945.45</v>
      </c>
      <c r="V436" s="1">
        <v>476</v>
      </c>
      <c r="Y436" s="1" t="s">
        <v>846</v>
      </c>
      <c r="Z436" s="1" t="s">
        <v>76</v>
      </c>
      <c r="AA436" s="12">
        <v>44686</v>
      </c>
      <c r="AB436" s="1" t="s">
        <v>66</v>
      </c>
      <c r="AC436" s="1" t="s">
        <v>143</v>
      </c>
      <c r="AD436" s="1" t="s">
        <v>847</v>
      </c>
      <c r="AE436" s="1" t="s">
        <v>878</v>
      </c>
      <c r="AG436" s="1">
        <v>10394800</v>
      </c>
    </row>
    <row r="437" spans="3:33" s="1" customFormat="1" x14ac:dyDescent="0.25">
      <c r="C437" s="1" t="s">
        <v>2665</v>
      </c>
      <c r="D437" s="1" t="s">
        <v>2662</v>
      </c>
      <c r="E437" s="1" t="s">
        <v>2666</v>
      </c>
      <c r="F437" s="13" t="s">
        <v>6952</v>
      </c>
      <c r="G437" s="1" t="s">
        <v>843</v>
      </c>
      <c r="H437" s="1" t="s">
        <v>61</v>
      </c>
      <c r="I437" s="1">
        <v>480</v>
      </c>
      <c r="J437" s="1" t="s">
        <v>46</v>
      </c>
      <c r="M437" s="1" t="s">
        <v>169</v>
      </c>
      <c r="N437" s="1" t="s">
        <v>139</v>
      </c>
      <c r="O437" s="9">
        <v>6</v>
      </c>
      <c r="P437" s="1">
        <f>ROUNDUP(830*(1-$F$3),2)</f>
        <v>830</v>
      </c>
      <c r="Q437" s="1" t="s">
        <v>49</v>
      </c>
      <c r="R437" s="1" t="s">
        <v>2667</v>
      </c>
      <c r="S437" s="1" t="s">
        <v>2668</v>
      </c>
      <c r="T437" s="9">
        <v>10</v>
      </c>
      <c r="U437" s="1">
        <f>ROUNDUP(754.55*(1-$F$3),2)</f>
        <v>754.55</v>
      </c>
      <c r="V437" s="1">
        <v>451</v>
      </c>
      <c r="Y437" s="1" t="s">
        <v>2669</v>
      </c>
      <c r="Z437" s="1" t="s">
        <v>53</v>
      </c>
      <c r="AA437" s="12">
        <v>44698</v>
      </c>
      <c r="AB437" s="1" t="s">
        <v>66</v>
      </c>
      <c r="AC437" s="1" t="s">
        <v>143</v>
      </c>
      <c r="AD437" s="1" t="s">
        <v>847</v>
      </c>
      <c r="AE437" s="1" t="s">
        <v>878</v>
      </c>
      <c r="AG437" s="1">
        <v>10406720</v>
      </c>
    </row>
    <row r="438" spans="3:33" s="1" customFormat="1" x14ac:dyDescent="0.25">
      <c r="C438" s="1" t="s">
        <v>2670</v>
      </c>
      <c r="D438" s="1" t="s">
        <v>2671</v>
      </c>
      <c r="E438" s="1" t="s">
        <v>2672</v>
      </c>
      <c r="F438" s="13" t="s">
        <v>6952</v>
      </c>
      <c r="G438" s="1" t="s">
        <v>2673</v>
      </c>
      <c r="H438" s="1" t="s">
        <v>61</v>
      </c>
      <c r="I438" s="1">
        <v>288</v>
      </c>
      <c r="J438" s="1" t="s">
        <v>46</v>
      </c>
      <c r="M438" s="1" t="s">
        <v>62</v>
      </c>
      <c r="N438" s="1" t="s">
        <v>48</v>
      </c>
      <c r="O438" s="9">
        <v>10</v>
      </c>
      <c r="P438" s="1">
        <f>ROUNDUP(1110*(1-$F$3),2)</f>
        <v>1110</v>
      </c>
      <c r="Q438" s="1" t="s">
        <v>49</v>
      </c>
      <c r="R438" s="1" t="s">
        <v>2674</v>
      </c>
      <c r="S438" s="1" t="s">
        <v>2675</v>
      </c>
      <c r="T438" s="9">
        <v>10</v>
      </c>
      <c r="U438" s="1">
        <f>ROUNDUP(1009.09*(1-$F$3),2)</f>
        <v>1009.09</v>
      </c>
      <c r="V438" s="1">
        <v>444</v>
      </c>
      <c r="Y438" s="1" t="s">
        <v>2676</v>
      </c>
      <c r="Z438" s="1" t="s">
        <v>53</v>
      </c>
      <c r="AA438" s="12">
        <v>45987</v>
      </c>
      <c r="AB438" s="1" t="s">
        <v>66</v>
      </c>
      <c r="AC438" s="1" t="s">
        <v>120</v>
      </c>
      <c r="AD438" s="1" t="s">
        <v>598</v>
      </c>
      <c r="AE438" s="1" t="s">
        <v>69</v>
      </c>
      <c r="AG438" s="1">
        <v>11947210</v>
      </c>
    </row>
    <row r="439" spans="3:33" s="1" customFormat="1" x14ac:dyDescent="0.25">
      <c r="C439" s="1" t="s">
        <v>2677</v>
      </c>
      <c r="D439" s="1" t="s">
        <v>2678</v>
      </c>
      <c r="E439" s="1" t="s">
        <v>2679</v>
      </c>
      <c r="F439" s="13" t="s">
        <v>6952</v>
      </c>
      <c r="G439" s="1" t="s">
        <v>2680</v>
      </c>
      <c r="H439" s="1" t="s">
        <v>61</v>
      </c>
      <c r="I439" s="1">
        <v>240</v>
      </c>
      <c r="J439" s="1" t="s">
        <v>46</v>
      </c>
      <c r="M439" s="1" t="s">
        <v>756</v>
      </c>
      <c r="N439" s="1" t="s">
        <v>48</v>
      </c>
      <c r="O439" s="9">
        <v>12</v>
      </c>
      <c r="P439" s="1">
        <f>ROUNDUP(980*(1-$F$3),2)</f>
        <v>980</v>
      </c>
      <c r="Q439" s="1" t="s">
        <v>49</v>
      </c>
      <c r="R439" s="1" t="s">
        <v>2681</v>
      </c>
      <c r="S439" s="1" t="s">
        <v>2682</v>
      </c>
      <c r="T439" s="9">
        <v>10</v>
      </c>
      <c r="U439" s="1">
        <f>ROUNDUP(890.91*(1-$F$3),2)</f>
        <v>890.91</v>
      </c>
      <c r="V439" s="1">
        <v>358</v>
      </c>
      <c r="Y439" s="1" t="s">
        <v>2683</v>
      </c>
      <c r="Z439" s="1" t="s">
        <v>128</v>
      </c>
      <c r="AA439" s="12">
        <v>43199</v>
      </c>
      <c r="AB439" s="1" t="s">
        <v>234</v>
      </c>
      <c r="AC439" s="1" t="s">
        <v>528</v>
      </c>
      <c r="AD439" s="1" t="s">
        <v>2616</v>
      </c>
      <c r="AE439" s="1" t="s">
        <v>69</v>
      </c>
      <c r="AG439" s="1">
        <v>8573970</v>
      </c>
    </row>
    <row r="440" spans="3:33" s="1" customFormat="1" x14ac:dyDescent="0.25">
      <c r="C440" s="1" t="s">
        <v>2684</v>
      </c>
      <c r="D440" s="1" t="s">
        <v>2685</v>
      </c>
      <c r="E440" s="1" t="s">
        <v>1482</v>
      </c>
      <c r="F440" s="13" t="s">
        <v>6952</v>
      </c>
      <c r="G440" s="1" t="s">
        <v>843</v>
      </c>
      <c r="H440" s="1" t="s">
        <v>61</v>
      </c>
      <c r="I440" s="1">
        <v>496</v>
      </c>
      <c r="J440" s="1" t="s">
        <v>46</v>
      </c>
      <c r="M440" s="1" t="s">
        <v>47</v>
      </c>
      <c r="N440" s="1" t="s">
        <v>48</v>
      </c>
      <c r="O440" s="9">
        <v>3</v>
      </c>
      <c r="P440" s="1">
        <f>ROUNDUP(1560*(1-$F$3),2)</f>
        <v>1560</v>
      </c>
      <c r="Q440" s="1" t="s">
        <v>49</v>
      </c>
      <c r="R440" s="1" t="s">
        <v>2686</v>
      </c>
      <c r="S440" s="1" t="s">
        <v>2687</v>
      </c>
      <c r="T440" s="9">
        <v>10</v>
      </c>
      <c r="U440" s="1">
        <f>ROUNDUP(1418.18*(1-$F$3),2)</f>
        <v>1418.18</v>
      </c>
      <c r="V440" s="1">
        <v>514</v>
      </c>
      <c r="Y440" s="1" t="s">
        <v>1485</v>
      </c>
      <c r="Z440" s="1" t="s">
        <v>53</v>
      </c>
      <c r="AA440" s="12">
        <v>44102</v>
      </c>
      <c r="AB440" s="1" t="s">
        <v>66</v>
      </c>
      <c r="AC440" s="1" t="s">
        <v>143</v>
      </c>
      <c r="AD440" s="1" t="s">
        <v>847</v>
      </c>
      <c r="AE440" s="1" t="s">
        <v>69</v>
      </c>
      <c r="AG440" s="1">
        <v>9501490</v>
      </c>
    </row>
    <row r="441" spans="3:33" s="1" customFormat="1" x14ac:dyDescent="0.25">
      <c r="C441" s="1" t="s">
        <v>2688</v>
      </c>
      <c r="D441" s="1" t="s">
        <v>2685</v>
      </c>
      <c r="E441" s="1" t="s">
        <v>943</v>
      </c>
      <c r="F441" s="13" t="s">
        <v>6952</v>
      </c>
      <c r="G441" s="1" t="s">
        <v>944</v>
      </c>
      <c r="H441" s="1" t="s">
        <v>61</v>
      </c>
      <c r="I441" s="1">
        <v>384</v>
      </c>
      <c r="J441" s="1" t="s">
        <v>46</v>
      </c>
      <c r="M441" s="1" t="s">
        <v>756</v>
      </c>
      <c r="N441" s="1" t="s">
        <v>48</v>
      </c>
      <c r="O441" s="9">
        <v>8</v>
      </c>
      <c r="P441" s="1">
        <f>ROUNDUP(1150*(1-$F$3),2)</f>
        <v>1150</v>
      </c>
      <c r="Q441" s="1" t="s">
        <v>49</v>
      </c>
      <c r="R441" s="1" t="s">
        <v>2689</v>
      </c>
      <c r="S441" s="1" t="s">
        <v>2690</v>
      </c>
      <c r="T441" s="9">
        <v>10</v>
      </c>
      <c r="U441" s="1">
        <f>ROUNDUP(1045.45*(1-$F$3),2)</f>
        <v>1045.45</v>
      </c>
      <c r="V441" s="1">
        <v>503</v>
      </c>
      <c r="Y441" s="1" t="s">
        <v>947</v>
      </c>
      <c r="Z441" s="1" t="s">
        <v>53</v>
      </c>
      <c r="AA441" s="12">
        <v>44307</v>
      </c>
      <c r="AB441" s="1" t="s">
        <v>66</v>
      </c>
      <c r="AC441" s="1" t="s">
        <v>120</v>
      </c>
      <c r="AD441" s="1" t="s">
        <v>121</v>
      </c>
      <c r="AE441" s="1" t="s">
        <v>69</v>
      </c>
      <c r="AG441" s="1">
        <v>9675700</v>
      </c>
    </row>
    <row r="442" spans="3:33" s="1" customFormat="1" x14ac:dyDescent="0.25">
      <c r="C442" s="1" t="s">
        <v>2691</v>
      </c>
      <c r="D442" s="1" t="s">
        <v>2685</v>
      </c>
      <c r="E442" s="1" t="s">
        <v>2692</v>
      </c>
      <c r="F442" s="13" t="s">
        <v>6952</v>
      </c>
      <c r="G442" s="1" t="s">
        <v>2693</v>
      </c>
      <c r="H442" s="1" t="s">
        <v>61</v>
      </c>
      <c r="I442" s="1">
        <v>256</v>
      </c>
      <c r="J442" s="1" t="s">
        <v>46</v>
      </c>
      <c r="M442" s="1" t="s">
        <v>62</v>
      </c>
      <c r="N442" s="1" t="s">
        <v>48</v>
      </c>
      <c r="O442" s="9">
        <v>10</v>
      </c>
      <c r="P442" s="1">
        <f>ROUNDUP(990*(1-$F$3),2)</f>
        <v>990</v>
      </c>
      <c r="Q442" s="1" t="s">
        <v>49</v>
      </c>
      <c r="R442" s="1" t="s">
        <v>2694</v>
      </c>
      <c r="S442" s="1" t="s">
        <v>2695</v>
      </c>
      <c r="T442" s="9">
        <v>10</v>
      </c>
      <c r="U442" s="1">
        <f>ROUNDUP(900*(1-$F$3),2)</f>
        <v>900</v>
      </c>
      <c r="V442" s="1">
        <v>323</v>
      </c>
      <c r="Y442" s="1" t="s">
        <v>2696</v>
      </c>
      <c r="Z442" s="1" t="s">
        <v>53</v>
      </c>
      <c r="AA442" s="12">
        <v>44210</v>
      </c>
      <c r="AB442" s="1" t="s">
        <v>66</v>
      </c>
      <c r="AC442" s="1" t="s">
        <v>143</v>
      </c>
      <c r="AD442" s="1" t="s">
        <v>847</v>
      </c>
      <c r="AE442" s="1" t="s">
        <v>69</v>
      </c>
      <c r="AG442" s="1">
        <v>9591720</v>
      </c>
    </row>
    <row r="443" spans="3:33" s="1" customFormat="1" x14ac:dyDescent="0.25">
      <c r="C443" s="1" t="s">
        <v>2697</v>
      </c>
      <c r="D443" s="1" t="s">
        <v>2698</v>
      </c>
      <c r="E443" s="1" t="s">
        <v>2699</v>
      </c>
      <c r="F443" s="13" t="s">
        <v>6952</v>
      </c>
      <c r="G443" s="1" t="s">
        <v>2700</v>
      </c>
      <c r="H443" s="1" t="s">
        <v>82</v>
      </c>
      <c r="I443" s="1">
        <v>624</v>
      </c>
      <c r="J443" s="1" t="s">
        <v>46</v>
      </c>
      <c r="M443" s="1" t="s">
        <v>756</v>
      </c>
      <c r="N443" s="1" t="s">
        <v>48</v>
      </c>
      <c r="O443" s="9">
        <v>4</v>
      </c>
      <c r="P443" s="1">
        <f>ROUNDUP(2210*(1-$F$3),2)</f>
        <v>2210</v>
      </c>
      <c r="Q443" s="1" t="s">
        <v>49</v>
      </c>
      <c r="R443" s="1" t="s">
        <v>2701</v>
      </c>
      <c r="S443" s="1" t="s">
        <v>2702</v>
      </c>
      <c r="T443" s="9">
        <v>10</v>
      </c>
      <c r="U443" s="1">
        <f>ROUNDUP(2009.09*(1-$F$3),2)</f>
        <v>2009.09</v>
      </c>
      <c r="V443" s="1">
        <v>1002.9999999999999</v>
      </c>
      <c r="Y443" s="1" t="s">
        <v>2703</v>
      </c>
      <c r="Z443" s="1" t="s">
        <v>128</v>
      </c>
      <c r="AA443" s="12">
        <v>44480</v>
      </c>
      <c r="AB443" s="1" t="s">
        <v>728</v>
      </c>
      <c r="AC443" s="1" t="s">
        <v>729</v>
      </c>
      <c r="AD443" s="1" t="s">
        <v>730</v>
      </c>
      <c r="AE443" s="1" t="s">
        <v>69</v>
      </c>
      <c r="AG443" s="1">
        <v>9801690</v>
      </c>
    </row>
    <row r="444" spans="3:33" s="1" customFormat="1" x14ac:dyDescent="0.25">
      <c r="C444" s="1" t="s">
        <v>2704</v>
      </c>
      <c r="D444" s="1" t="s">
        <v>2705</v>
      </c>
      <c r="E444" s="1" t="s">
        <v>2706</v>
      </c>
      <c r="F444" s="13" t="s">
        <v>6952</v>
      </c>
      <c r="G444" s="1" t="s">
        <v>2003</v>
      </c>
      <c r="H444" s="1" t="s">
        <v>160</v>
      </c>
      <c r="I444" s="1">
        <v>288</v>
      </c>
      <c r="J444" s="1" t="s">
        <v>46</v>
      </c>
      <c r="M444" s="1" t="s">
        <v>176</v>
      </c>
      <c r="N444" s="1" t="s">
        <v>139</v>
      </c>
      <c r="O444" s="9">
        <v>14</v>
      </c>
      <c r="P444" s="1">
        <f>ROUNDUP(580*(1-$F$3),2)</f>
        <v>580</v>
      </c>
      <c r="Q444" s="1" t="s">
        <v>49</v>
      </c>
      <c r="R444" s="1" t="s">
        <v>2707</v>
      </c>
      <c r="S444" s="1" t="s">
        <v>2708</v>
      </c>
      <c r="T444" s="9">
        <v>22</v>
      </c>
      <c r="U444" s="1">
        <f>ROUNDUP(475.41*(1-$F$3),2)</f>
        <v>475.41</v>
      </c>
      <c r="V444" s="1">
        <v>189</v>
      </c>
      <c r="Y444" s="1" t="s">
        <v>2709</v>
      </c>
      <c r="Z444" s="1" t="s">
        <v>76</v>
      </c>
      <c r="AA444" s="12">
        <v>45302</v>
      </c>
      <c r="AB444" s="1" t="s">
        <v>459</v>
      </c>
      <c r="AC444" s="1" t="s">
        <v>2007</v>
      </c>
      <c r="AD444" s="1" t="s">
        <v>2008</v>
      </c>
      <c r="AE444" s="1" t="s">
        <v>69</v>
      </c>
      <c r="AG444" s="1">
        <v>11199020</v>
      </c>
    </row>
    <row r="445" spans="3:33" s="1" customFormat="1" x14ac:dyDescent="0.25">
      <c r="C445" s="1" t="s">
        <v>2710</v>
      </c>
      <c r="D445" s="1" t="s">
        <v>2705</v>
      </c>
      <c r="E445" s="1" t="s">
        <v>2711</v>
      </c>
      <c r="F445" s="13" t="s">
        <v>6952</v>
      </c>
      <c r="G445" s="1" t="s">
        <v>2003</v>
      </c>
      <c r="H445" s="1" t="s">
        <v>160</v>
      </c>
      <c r="I445" s="1">
        <v>272</v>
      </c>
      <c r="J445" s="1" t="s">
        <v>46</v>
      </c>
      <c r="M445" s="1" t="s">
        <v>176</v>
      </c>
      <c r="N445" s="1" t="s">
        <v>139</v>
      </c>
      <c r="O445" s="9">
        <v>16</v>
      </c>
      <c r="P445" s="1">
        <f>ROUNDUP(580*(1-$F$3),2)</f>
        <v>580</v>
      </c>
      <c r="Q445" s="1" t="s">
        <v>49</v>
      </c>
      <c r="R445" s="1" t="s">
        <v>2712</v>
      </c>
      <c r="S445" s="1" t="s">
        <v>2713</v>
      </c>
      <c r="T445" s="9">
        <v>10</v>
      </c>
      <c r="U445" s="1">
        <f>ROUNDUP(527.27*(1-$F$3),2)</f>
        <v>527.27</v>
      </c>
      <c r="V445" s="1">
        <v>183</v>
      </c>
      <c r="Y445" s="1" t="s">
        <v>2714</v>
      </c>
      <c r="Z445" s="1" t="s">
        <v>128</v>
      </c>
      <c r="AA445" s="12">
        <v>45302</v>
      </c>
      <c r="AB445" s="1" t="s">
        <v>459</v>
      </c>
      <c r="AC445" s="1" t="s">
        <v>2007</v>
      </c>
      <c r="AD445" s="1" t="s">
        <v>2715</v>
      </c>
      <c r="AE445" s="1" t="s">
        <v>69</v>
      </c>
      <c r="AG445" s="1">
        <v>11199000</v>
      </c>
    </row>
    <row r="446" spans="3:33" s="1" customFormat="1" x14ac:dyDescent="0.25">
      <c r="C446" s="1" t="s">
        <v>2716</v>
      </c>
      <c r="D446" s="1" t="s">
        <v>2705</v>
      </c>
      <c r="E446" s="1" t="s">
        <v>2717</v>
      </c>
      <c r="F446" s="13" t="s">
        <v>6952</v>
      </c>
      <c r="G446" s="1" t="s">
        <v>2003</v>
      </c>
      <c r="H446" s="1" t="s">
        <v>160</v>
      </c>
      <c r="I446" s="1">
        <v>272</v>
      </c>
      <c r="J446" s="1" t="s">
        <v>46</v>
      </c>
      <c r="M446" s="1" t="s">
        <v>176</v>
      </c>
      <c r="N446" s="1" t="s">
        <v>139</v>
      </c>
      <c r="O446" s="9">
        <v>16</v>
      </c>
      <c r="P446" s="1">
        <f>ROUNDUP(580*(1-$F$3),2)</f>
        <v>580</v>
      </c>
      <c r="Q446" s="1" t="s">
        <v>49</v>
      </c>
      <c r="R446" s="1" t="s">
        <v>2718</v>
      </c>
      <c r="S446" s="1" t="s">
        <v>2719</v>
      </c>
      <c r="T446" s="9">
        <v>10</v>
      </c>
      <c r="U446" s="1">
        <f>ROUNDUP(527.27*(1-$F$3),2)</f>
        <v>527.27</v>
      </c>
      <c r="V446" s="1">
        <v>181</v>
      </c>
      <c r="Y446" s="1" t="s">
        <v>2720</v>
      </c>
      <c r="Z446" s="1" t="s">
        <v>128</v>
      </c>
      <c r="AA446" s="12">
        <v>45302</v>
      </c>
      <c r="AB446" s="1" t="s">
        <v>459</v>
      </c>
      <c r="AC446" s="1" t="s">
        <v>2007</v>
      </c>
      <c r="AD446" s="1" t="s">
        <v>2715</v>
      </c>
      <c r="AE446" s="1" t="s">
        <v>69</v>
      </c>
      <c r="AG446" s="1">
        <v>11198990</v>
      </c>
    </row>
    <row r="447" spans="3:33" s="1" customFormat="1" x14ac:dyDescent="0.25">
      <c r="C447" s="1" t="s">
        <v>2721</v>
      </c>
      <c r="D447" s="1" t="s">
        <v>2722</v>
      </c>
      <c r="E447" s="1" t="s">
        <v>1671</v>
      </c>
      <c r="F447" s="13" t="s">
        <v>6952</v>
      </c>
      <c r="G447" s="1" t="s">
        <v>1500</v>
      </c>
      <c r="H447" s="1" t="s">
        <v>61</v>
      </c>
      <c r="I447" s="1">
        <v>704</v>
      </c>
      <c r="J447" s="1" t="s">
        <v>46</v>
      </c>
      <c r="K447" s="1" t="s">
        <v>1566</v>
      </c>
      <c r="M447" s="1" t="s">
        <v>47</v>
      </c>
      <c r="N447" s="1" t="s">
        <v>139</v>
      </c>
      <c r="O447" s="9">
        <v>4</v>
      </c>
      <c r="P447" s="1">
        <f>ROUNDUP(1670*(1-$F$3),2)</f>
        <v>1670</v>
      </c>
      <c r="Q447" s="1" t="s">
        <v>49</v>
      </c>
      <c r="R447" s="1" t="s">
        <v>2723</v>
      </c>
      <c r="S447" s="1" t="s">
        <v>2724</v>
      </c>
      <c r="T447" s="9">
        <v>10</v>
      </c>
      <c r="U447" s="1">
        <f>ROUNDUP(1518.18*(1-$F$3),2)</f>
        <v>1518.18</v>
      </c>
      <c r="V447" s="1">
        <v>752</v>
      </c>
      <c r="Y447" s="1" t="s">
        <v>1674</v>
      </c>
      <c r="Z447" s="1" t="s">
        <v>76</v>
      </c>
      <c r="AA447" s="12">
        <v>43713</v>
      </c>
      <c r="AB447" s="1" t="s">
        <v>66</v>
      </c>
      <c r="AC447" s="1" t="s">
        <v>491</v>
      </c>
      <c r="AD447" s="1" t="s">
        <v>492</v>
      </c>
      <c r="AE447" s="1" t="s">
        <v>69</v>
      </c>
      <c r="AG447" s="1">
        <v>9153000</v>
      </c>
    </row>
    <row r="448" spans="3:33" s="1" customFormat="1" x14ac:dyDescent="0.25">
      <c r="C448" s="1" t="s">
        <v>2725</v>
      </c>
      <c r="D448" s="1" t="s">
        <v>2726</v>
      </c>
      <c r="E448" s="1" t="s">
        <v>2727</v>
      </c>
      <c r="F448" s="13" t="s">
        <v>6952</v>
      </c>
      <c r="G448" s="1" t="s">
        <v>2728</v>
      </c>
      <c r="H448" s="1" t="s">
        <v>61</v>
      </c>
      <c r="I448" s="1">
        <v>272</v>
      </c>
      <c r="J448" s="1" t="s">
        <v>46</v>
      </c>
      <c r="M448" s="1" t="s">
        <v>756</v>
      </c>
      <c r="N448" s="1" t="s">
        <v>48</v>
      </c>
      <c r="O448" s="9">
        <v>14</v>
      </c>
      <c r="P448" s="1">
        <f>ROUNDUP(1100*(1-$F$3),2)</f>
        <v>1100</v>
      </c>
      <c r="Q448" s="1" t="s">
        <v>49</v>
      </c>
      <c r="R448" s="1" t="s">
        <v>2729</v>
      </c>
      <c r="S448" s="1" t="s">
        <v>2730</v>
      </c>
      <c r="T448" s="9">
        <v>10</v>
      </c>
      <c r="U448" s="1">
        <f>ROUNDUP(1000*(1-$F$3),2)</f>
        <v>1000</v>
      </c>
      <c r="V448" s="1">
        <v>382</v>
      </c>
      <c r="Y448" s="1" t="s">
        <v>2731</v>
      </c>
      <c r="Z448" s="1" t="s">
        <v>711</v>
      </c>
      <c r="AA448" s="12">
        <v>44214</v>
      </c>
      <c r="AB448" s="1" t="s">
        <v>66</v>
      </c>
      <c r="AC448" s="1" t="s">
        <v>499</v>
      </c>
      <c r="AD448" s="1" t="s">
        <v>500</v>
      </c>
      <c r="AE448" s="1" t="s">
        <v>69</v>
      </c>
      <c r="AG448" s="1">
        <v>9613260</v>
      </c>
    </row>
    <row r="449" spans="3:33" s="1" customFormat="1" x14ac:dyDescent="0.25">
      <c r="C449" s="1" t="s">
        <v>2732</v>
      </c>
      <c r="D449" s="1" t="s">
        <v>2726</v>
      </c>
      <c r="E449" s="1" t="s">
        <v>2733</v>
      </c>
      <c r="F449" s="13" t="s">
        <v>6952</v>
      </c>
      <c r="G449" s="1" t="s">
        <v>2734</v>
      </c>
      <c r="H449" s="1" t="s">
        <v>61</v>
      </c>
      <c r="I449" s="1">
        <v>272</v>
      </c>
      <c r="J449" s="1" t="s">
        <v>46</v>
      </c>
      <c r="M449" s="1" t="s">
        <v>756</v>
      </c>
      <c r="N449" s="1" t="s">
        <v>48</v>
      </c>
      <c r="O449" s="9">
        <v>12</v>
      </c>
      <c r="P449" s="1">
        <f>ROUNDUP(1020*(1-$F$3),2)</f>
        <v>1020</v>
      </c>
      <c r="Q449" s="1" t="s">
        <v>49</v>
      </c>
      <c r="R449" s="1" t="s">
        <v>2735</v>
      </c>
      <c r="S449" s="1" t="s">
        <v>2736</v>
      </c>
      <c r="T449" s="9">
        <v>10</v>
      </c>
      <c r="U449" s="1">
        <f>ROUNDUP(927.27*(1-$F$3),2)</f>
        <v>927.27</v>
      </c>
      <c r="V449" s="1">
        <v>389</v>
      </c>
      <c r="Y449" s="1" t="s">
        <v>2737</v>
      </c>
      <c r="Z449" s="1" t="s">
        <v>128</v>
      </c>
      <c r="AA449" s="12">
        <v>44158</v>
      </c>
      <c r="AB449" s="1" t="s">
        <v>573</v>
      </c>
      <c r="AC449" s="1" t="s">
        <v>66</v>
      </c>
      <c r="AD449" s="1" t="s">
        <v>2738</v>
      </c>
      <c r="AE449" s="1" t="s">
        <v>69</v>
      </c>
      <c r="AG449" s="1">
        <v>9575050</v>
      </c>
    </row>
    <row r="450" spans="3:33" s="1" customFormat="1" x14ac:dyDescent="0.25">
      <c r="C450" s="1" t="s">
        <v>2739</v>
      </c>
      <c r="D450" s="1" t="s">
        <v>2740</v>
      </c>
      <c r="E450" s="1" t="s">
        <v>2741</v>
      </c>
      <c r="F450" s="13" t="s">
        <v>6952</v>
      </c>
      <c r="G450" s="1" t="s">
        <v>2742</v>
      </c>
      <c r="H450" s="1" t="s">
        <v>160</v>
      </c>
      <c r="I450" s="1">
        <v>320</v>
      </c>
      <c r="J450" s="1" t="s">
        <v>46</v>
      </c>
      <c r="M450" s="1" t="s">
        <v>756</v>
      </c>
      <c r="N450" s="1" t="s">
        <v>48</v>
      </c>
      <c r="O450" s="9">
        <v>12</v>
      </c>
      <c r="P450" s="1">
        <f>ROUNDUP(1020*(1-$F$3),2)</f>
        <v>1020</v>
      </c>
      <c r="Q450" s="1" t="s">
        <v>49</v>
      </c>
      <c r="R450" s="1" t="s">
        <v>2743</v>
      </c>
      <c r="S450" s="1" t="s">
        <v>2744</v>
      </c>
      <c r="T450" s="9">
        <v>10</v>
      </c>
      <c r="U450" s="1">
        <f>ROUNDUP(927.27*(1-$F$3),2)</f>
        <v>927.27</v>
      </c>
      <c r="V450" s="1">
        <v>349</v>
      </c>
      <c r="Y450" s="1" t="s">
        <v>2745</v>
      </c>
      <c r="Z450" s="1" t="s">
        <v>53</v>
      </c>
      <c r="AA450" s="12">
        <v>44287</v>
      </c>
      <c r="AB450" s="1" t="s">
        <v>66</v>
      </c>
      <c r="AC450" s="1" t="s">
        <v>143</v>
      </c>
      <c r="AD450" s="1" t="s">
        <v>847</v>
      </c>
      <c r="AE450" s="1" t="s">
        <v>69</v>
      </c>
      <c r="AG450" s="1">
        <v>9688020</v>
      </c>
    </row>
    <row r="451" spans="3:33" s="1" customFormat="1" x14ac:dyDescent="0.25">
      <c r="C451" s="1" t="s">
        <v>2746</v>
      </c>
      <c r="D451" s="1" t="s">
        <v>2740</v>
      </c>
      <c r="E451" s="1" t="s">
        <v>2747</v>
      </c>
      <c r="F451" s="13" t="s">
        <v>6952</v>
      </c>
      <c r="G451" s="1" t="s">
        <v>1488</v>
      </c>
      <c r="H451" s="1" t="s">
        <v>160</v>
      </c>
      <c r="I451" s="1">
        <v>464</v>
      </c>
      <c r="J451" s="1" t="s">
        <v>46</v>
      </c>
      <c r="M451" s="1" t="s">
        <v>756</v>
      </c>
      <c r="N451" s="1" t="s">
        <v>48</v>
      </c>
      <c r="O451" s="9">
        <v>10</v>
      </c>
      <c r="P451" s="1">
        <f>ROUNDUP(1450*(1-$F$3),2)</f>
        <v>1450</v>
      </c>
      <c r="Q451" s="1" t="s">
        <v>49</v>
      </c>
      <c r="R451" s="1" t="s">
        <v>2748</v>
      </c>
      <c r="S451" s="1" t="s">
        <v>2749</v>
      </c>
      <c r="T451" s="9">
        <v>10</v>
      </c>
      <c r="U451" s="1">
        <f>ROUNDUP(1318.18*(1-$F$3),2)</f>
        <v>1318.18</v>
      </c>
      <c r="V451" s="1">
        <v>466</v>
      </c>
      <c r="Y451" s="1" t="s">
        <v>2750</v>
      </c>
      <c r="Z451" s="1" t="s">
        <v>53</v>
      </c>
      <c r="AA451" s="12">
        <v>44255</v>
      </c>
      <c r="AB451" s="1" t="s">
        <v>66</v>
      </c>
      <c r="AC451" s="1" t="s">
        <v>143</v>
      </c>
      <c r="AD451" s="1" t="s">
        <v>847</v>
      </c>
      <c r="AE451" s="1" t="s">
        <v>69</v>
      </c>
      <c r="AG451" s="1">
        <v>9631220</v>
      </c>
    </row>
    <row r="452" spans="3:33" s="1" customFormat="1" x14ac:dyDescent="0.25">
      <c r="C452" s="1" t="s">
        <v>2751</v>
      </c>
      <c r="D452" s="1" t="s">
        <v>2740</v>
      </c>
      <c r="E452" s="1" t="s">
        <v>2752</v>
      </c>
      <c r="F452" s="13" t="s">
        <v>6952</v>
      </c>
      <c r="G452" s="1" t="s">
        <v>2318</v>
      </c>
      <c r="H452" s="1" t="s">
        <v>160</v>
      </c>
      <c r="I452" s="1">
        <v>256</v>
      </c>
      <c r="J452" s="1" t="s">
        <v>46</v>
      </c>
      <c r="M452" s="1" t="s">
        <v>756</v>
      </c>
      <c r="N452" s="1" t="s">
        <v>48</v>
      </c>
      <c r="O452" s="9">
        <v>14</v>
      </c>
      <c r="P452" s="1">
        <f>ROUNDUP(940*(1-$F$3),2)</f>
        <v>940</v>
      </c>
      <c r="Q452" s="1" t="s">
        <v>49</v>
      </c>
      <c r="R452" s="1" t="s">
        <v>2753</v>
      </c>
      <c r="S452" s="1" t="s">
        <v>2754</v>
      </c>
      <c r="T452" s="9">
        <v>10</v>
      </c>
      <c r="U452" s="1">
        <f>ROUNDUP(854.55*(1-$F$3),2)</f>
        <v>854.55</v>
      </c>
      <c r="V452" s="1">
        <v>304</v>
      </c>
      <c r="Y452" s="1" t="s">
        <v>2755</v>
      </c>
      <c r="Z452" s="1" t="s">
        <v>53</v>
      </c>
      <c r="AA452" s="12">
        <v>44290</v>
      </c>
      <c r="AB452" s="1" t="s">
        <v>573</v>
      </c>
      <c r="AC452" s="1" t="s">
        <v>66</v>
      </c>
      <c r="AD452" s="1" t="s">
        <v>2756</v>
      </c>
      <c r="AE452" s="1" t="s">
        <v>69</v>
      </c>
      <c r="AG452" s="1">
        <v>9666890</v>
      </c>
    </row>
    <row r="453" spans="3:33" s="1" customFormat="1" x14ac:dyDescent="0.25">
      <c r="C453" s="1" t="s">
        <v>2757</v>
      </c>
      <c r="D453" s="1" t="s">
        <v>2740</v>
      </c>
      <c r="E453" s="1" t="s">
        <v>2758</v>
      </c>
      <c r="F453" s="13" t="s">
        <v>6952</v>
      </c>
      <c r="G453" s="1" t="s">
        <v>2759</v>
      </c>
      <c r="H453" s="1" t="s">
        <v>160</v>
      </c>
      <c r="I453" s="1">
        <v>400</v>
      </c>
      <c r="J453" s="1" t="s">
        <v>46</v>
      </c>
      <c r="M453" s="1" t="s">
        <v>756</v>
      </c>
      <c r="N453" s="1" t="s">
        <v>48</v>
      </c>
      <c r="O453" s="9">
        <v>10</v>
      </c>
      <c r="P453" s="1">
        <f>ROUNDUP(1240*(1-$F$3),2)</f>
        <v>1240</v>
      </c>
      <c r="Q453" s="1" t="s">
        <v>49</v>
      </c>
      <c r="R453" s="1" t="s">
        <v>2760</v>
      </c>
      <c r="S453" s="1" t="s">
        <v>2761</v>
      </c>
      <c r="T453" s="9">
        <v>10</v>
      </c>
      <c r="U453" s="1">
        <f>ROUNDUP(1127.27*(1-$F$3),2)</f>
        <v>1127.27</v>
      </c>
      <c r="V453" s="1">
        <v>417</v>
      </c>
      <c r="Y453" s="1" t="s">
        <v>2762</v>
      </c>
      <c r="Z453" s="1" t="s">
        <v>53</v>
      </c>
      <c r="AA453" s="12">
        <v>44311</v>
      </c>
      <c r="AB453" s="1" t="s">
        <v>66</v>
      </c>
      <c r="AC453" s="1" t="s">
        <v>143</v>
      </c>
      <c r="AD453" s="1" t="s">
        <v>847</v>
      </c>
      <c r="AE453" s="1" t="s">
        <v>69</v>
      </c>
      <c r="AG453" s="1">
        <v>9678880</v>
      </c>
    </row>
    <row r="454" spans="3:33" s="1" customFormat="1" x14ac:dyDescent="0.25">
      <c r="C454" s="1" t="s">
        <v>2763</v>
      </c>
      <c r="D454" s="1" t="s">
        <v>2764</v>
      </c>
      <c r="E454" s="1" t="s">
        <v>2765</v>
      </c>
      <c r="F454" s="13" t="s">
        <v>6952</v>
      </c>
      <c r="G454" s="1" t="s">
        <v>1488</v>
      </c>
      <c r="H454" s="1" t="s">
        <v>160</v>
      </c>
      <c r="I454" s="1">
        <v>448</v>
      </c>
      <c r="J454" s="1" t="s">
        <v>46</v>
      </c>
      <c r="M454" s="1" t="s">
        <v>756</v>
      </c>
      <c r="N454" s="1" t="s">
        <v>48</v>
      </c>
      <c r="O454" s="9">
        <v>10</v>
      </c>
      <c r="P454" s="1">
        <f>ROUNDUP(1180*(1-$F$3),2)</f>
        <v>1180</v>
      </c>
      <c r="Q454" s="1" t="s">
        <v>49</v>
      </c>
      <c r="R454" s="1" t="s">
        <v>2766</v>
      </c>
      <c r="S454" s="1" t="s">
        <v>2767</v>
      </c>
      <c r="T454" s="9">
        <v>10</v>
      </c>
      <c r="U454" s="1">
        <f>ROUNDUP(1072.73*(1-$F$3),2)</f>
        <v>1072.73</v>
      </c>
      <c r="V454" s="1">
        <v>459</v>
      </c>
      <c r="Y454" s="1" t="s">
        <v>2768</v>
      </c>
      <c r="Z454" s="1" t="s">
        <v>53</v>
      </c>
      <c r="AA454" s="12">
        <v>44341</v>
      </c>
      <c r="AB454" s="1" t="s">
        <v>66</v>
      </c>
      <c r="AC454" s="1" t="s">
        <v>143</v>
      </c>
      <c r="AD454" s="1" t="s">
        <v>847</v>
      </c>
      <c r="AE454" s="1" t="s">
        <v>69</v>
      </c>
      <c r="AG454" s="1">
        <v>9695560</v>
      </c>
    </row>
    <row r="455" spans="3:33" s="1" customFormat="1" x14ac:dyDescent="0.25">
      <c r="C455" s="1" t="s">
        <v>2769</v>
      </c>
      <c r="D455" s="1" t="s">
        <v>2764</v>
      </c>
      <c r="E455" s="1" t="s">
        <v>2770</v>
      </c>
      <c r="F455" s="13" t="s">
        <v>6952</v>
      </c>
      <c r="G455" s="1" t="s">
        <v>2771</v>
      </c>
      <c r="H455" s="1" t="s">
        <v>160</v>
      </c>
      <c r="I455" s="1">
        <v>352</v>
      </c>
      <c r="J455" s="1" t="s">
        <v>46</v>
      </c>
      <c r="M455" s="1" t="s">
        <v>756</v>
      </c>
      <c r="N455" s="1" t="s">
        <v>48</v>
      </c>
      <c r="O455" s="9">
        <v>12</v>
      </c>
      <c r="P455" s="1">
        <f>ROUNDUP(1070*(1-$F$3),2)</f>
        <v>1070</v>
      </c>
      <c r="Q455" s="1" t="s">
        <v>49</v>
      </c>
      <c r="R455" s="1" t="s">
        <v>2772</v>
      </c>
      <c r="S455" s="1" t="s">
        <v>2773</v>
      </c>
      <c r="T455" s="9">
        <v>10</v>
      </c>
      <c r="U455" s="1">
        <f>ROUNDUP(972.73*(1-$F$3),2)</f>
        <v>972.73</v>
      </c>
      <c r="V455" s="1">
        <v>379</v>
      </c>
      <c r="Y455" s="1" t="s">
        <v>2774</v>
      </c>
      <c r="Z455" s="1" t="s">
        <v>53</v>
      </c>
      <c r="AA455" s="12">
        <v>44311</v>
      </c>
      <c r="AB455" s="1" t="s">
        <v>66</v>
      </c>
      <c r="AC455" s="1" t="s">
        <v>491</v>
      </c>
      <c r="AD455" s="1" t="s">
        <v>492</v>
      </c>
      <c r="AE455" s="1" t="s">
        <v>69</v>
      </c>
      <c r="AG455" s="1">
        <v>9676980</v>
      </c>
    </row>
    <row r="456" spans="3:33" s="1" customFormat="1" x14ac:dyDescent="0.25">
      <c r="C456" s="1" t="s">
        <v>2775</v>
      </c>
      <c r="D456" s="1" t="s">
        <v>2776</v>
      </c>
      <c r="E456" s="1" t="s">
        <v>2777</v>
      </c>
      <c r="F456" s="13" t="s">
        <v>6952</v>
      </c>
      <c r="H456" s="1" t="s">
        <v>724</v>
      </c>
      <c r="I456" s="1">
        <v>16</v>
      </c>
      <c r="J456" s="1" t="s">
        <v>46</v>
      </c>
      <c r="M456" s="1" t="s">
        <v>2778</v>
      </c>
      <c r="N456" s="1" t="s">
        <v>48</v>
      </c>
      <c r="O456" s="9">
        <v>80</v>
      </c>
      <c r="P456" s="1">
        <f>ROUNDUP(163.8*(1-$F$3),2)</f>
        <v>163.80000000000001</v>
      </c>
      <c r="Q456" s="1" t="s">
        <v>49</v>
      </c>
      <c r="R456" s="1" t="s">
        <v>2779</v>
      </c>
      <c r="S456" s="1" t="s">
        <v>2780</v>
      </c>
      <c r="T456" s="9">
        <v>10</v>
      </c>
      <c r="U456" s="1">
        <f>ROUNDUP(148.91*(1-$F$3),2)</f>
        <v>148.91</v>
      </c>
      <c r="V456" s="1">
        <v>53</v>
      </c>
      <c r="W456" s="1" t="s">
        <v>2781</v>
      </c>
      <c r="X456" s="1" t="s">
        <v>2782</v>
      </c>
      <c r="Y456" s="1" t="s">
        <v>2783</v>
      </c>
      <c r="AA456" s="12">
        <v>42247</v>
      </c>
      <c r="AB456" s="1" t="s">
        <v>573</v>
      </c>
      <c r="AC456" s="1" t="s">
        <v>2784</v>
      </c>
      <c r="AD456" s="1" t="s">
        <v>2785</v>
      </c>
      <c r="AE456" s="1" t="s">
        <v>49</v>
      </c>
      <c r="AG456" s="1">
        <v>6804840</v>
      </c>
    </row>
    <row r="457" spans="3:33" s="1" customFormat="1" x14ac:dyDescent="0.25">
      <c r="C457" s="1" t="s">
        <v>2786</v>
      </c>
      <c r="D457" s="1" t="s">
        <v>2787</v>
      </c>
      <c r="E457" s="1" t="s">
        <v>2765</v>
      </c>
      <c r="F457" s="13" t="s">
        <v>6952</v>
      </c>
      <c r="G457" s="1" t="s">
        <v>1488</v>
      </c>
      <c r="H457" s="1" t="s">
        <v>160</v>
      </c>
      <c r="I457" s="1">
        <v>448</v>
      </c>
      <c r="J457" s="1" t="s">
        <v>46</v>
      </c>
      <c r="M457" s="1" t="s">
        <v>835</v>
      </c>
      <c r="N457" s="1" t="s">
        <v>48</v>
      </c>
      <c r="O457" s="9">
        <v>10</v>
      </c>
      <c r="P457" s="1">
        <f>ROUNDUP(1190*(1-$F$3),2)</f>
        <v>1190</v>
      </c>
      <c r="Q457" s="1" t="s">
        <v>49</v>
      </c>
      <c r="R457" s="1" t="s">
        <v>2788</v>
      </c>
      <c r="S457" s="1" t="s">
        <v>2789</v>
      </c>
      <c r="T457" s="9">
        <v>10</v>
      </c>
      <c r="U457" s="1">
        <f>ROUNDUP(1081.82*(1-$F$3),2)</f>
        <v>1081.82</v>
      </c>
      <c r="V457" s="1">
        <v>485</v>
      </c>
      <c r="Y457" s="1" t="s">
        <v>2768</v>
      </c>
      <c r="Z457" s="1" t="s">
        <v>53</v>
      </c>
      <c r="AA457" s="12">
        <v>43998</v>
      </c>
      <c r="AB457" s="1" t="s">
        <v>66</v>
      </c>
      <c r="AC457" s="1" t="s">
        <v>143</v>
      </c>
      <c r="AD457" s="1" t="s">
        <v>847</v>
      </c>
      <c r="AE457" s="1" t="s">
        <v>69</v>
      </c>
      <c r="AG457" s="1">
        <v>9401410</v>
      </c>
    </row>
    <row r="458" spans="3:33" s="1" customFormat="1" x14ac:dyDescent="0.25">
      <c r="C458" s="1" t="s">
        <v>2790</v>
      </c>
      <c r="D458" s="1" t="s">
        <v>2791</v>
      </c>
      <c r="E458" s="1" t="s">
        <v>2792</v>
      </c>
      <c r="F458" s="13" t="s">
        <v>6952</v>
      </c>
      <c r="G458" s="1" t="s">
        <v>2793</v>
      </c>
      <c r="H458" s="1" t="s">
        <v>160</v>
      </c>
      <c r="I458" s="1">
        <v>336</v>
      </c>
      <c r="J458" s="1" t="s">
        <v>46</v>
      </c>
      <c r="M458" s="1" t="s">
        <v>835</v>
      </c>
      <c r="N458" s="1" t="s">
        <v>48</v>
      </c>
      <c r="O458" s="9">
        <v>10</v>
      </c>
      <c r="P458" s="1">
        <f>ROUNDUP(830*(1-$F$3),2)</f>
        <v>830</v>
      </c>
      <c r="Q458" s="1" t="s">
        <v>49</v>
      </c>
      <c r="R458" s="1" t="s">
        <v>2794</v>
      </c>
      <c r="S458" s="1" t="s">
        <v>2795</v>
      </c>
      <c r="T458" s="9">
        <v>22</v>
      </c>
      <c r="U458" s="1">
        <f>ROUNDUP(680.33*(1-$F$3),2)</f>
        <v>680.33</v>
      </c>
      <c r="V458" s="1">
        <v>278</v>
      </c>
      <c r="Y458" s="1" t="s">
        <v>2796</v>
      </c>
      <c r="Z458" s="1" t="s">
        <v>53</v>
      </c>
      <c r="AA458" s="12">
        <v>44103</v>
      </c>
      <c r="AB458" s="1" t="s">
        <v>286</v>
      </c>
      <c r="AC458" s="1" t="s">
        <v>320</v>
      </c>
      <c r="AD458" s="1" t="s">
        <v>321</v>
      </c>
      <c r="AE458" s="1" t="s">
        <v>878</v>
      </c>
      <c r="AG458" s="1">
        <v>9494740</v>
      </c>
    </row>
    <row r="459" spans="3:33" s="1" customFormat="1" x14ac:dyDescent="0.25">
      <c r="C459" s="1" t="s">
        <v>2797</v>
      </c>
      <c r="D459" s="1" t="s">
        <v>2791</v>
      </c>
      <c r="E459" s="1" t="s">
        <v>2798</v>
      </c>
      <c r="F459" s="13" t="s">
        <v>6952</v>
      </c>
      <c r="G459" s="1" t="s">
        <v>2793</v>
      </c>
      <c r="H459" s="1" t="s">
        <v>160</v>
      </c>
      <c r="I459" s="1">
        <v>288</v>
      </c>
      <c r="J459" s="1" t="s">
        <v>46</v>
      </c>
      <c r="M459" s="1" t="s">
        <v>835</v>
      </c>
      <c r="N459" s="1" t="s">
        <v>48</v>
      </c>
      <c r="O459" s="9">
        <v>12</v>
      </c>
      <c r="P459" s="1">
        <f>ROUNDUP(790*(1-$F$3),2)</f>
        <v>790</v>
      </c>
      <c r="Q459" s="1" t="s">
        <v>49</v>
      </c>
      <c r="R459" s="1" t="s">
        <v>2799</v>
      </c>
      <c r="S459" s="1" t="s">
        <v>2800</v>
      </c>
      <c r="T459" s="9">
        <v>22</v>
      </c>
      <c r="U459" s="1">
        <f>ROUNDUP(647.54*(1-$F$3),2)</f>
        <v>647.54</v>
      </c>
      <c r="V459" s="1">
        <v>249</v>
      </c>
      <c r="Y459" s="1" t="s">
        <v>2801</v>
      </c>
      <c r="Z459" s="1" t="s">
        <v>53</v>
      </c>
      <c r="AA459" s="12">
        <v>44103</v>
      </c>
      <c r="AB459" s="1" t="s">
        <v>286</v>
      </c>
      <c r="AC459" s="1" t="s">
        <v>320</v>
      </c>
      <c r="AD459" s="1" t="s">
        <v>321</v>
      </c>
      <c r="AE459" s="1" t="s">
        <v>878</v>
      </c>
      <c r="AG459" s="1">
        <v>9494750</v>
      </c>
    </row>
    <row r="460" spans="3:33" s="1" customFormat="1" x14ac:dyDescent="0.25">
      <c r="C460" s="1" t="s">
        <v>2802</v>
      </c>
      <c r="D460" s="1" t="s">
        <v>2803</v>
      </c>
      <c r="E460" s="1" t="s">
        <v>2804</v>
      </c>
      <c r="F460" s="13" t="s">
        <v>6952</v>
      </c>
      <c r="G460" s="1" t="s">
        <v>2805</v>
      </c>
      <c r="H460" s="1" t="s">
        <v>61</v>
      </c>
      <c r="I460" s="1">
        <v>464</v>
      </c>
      <c r="J460" s="1" t="s">
        <v>46</v>
      </c>
      <c r="M460" s="1" t="s">
        <v>756</v>
      </c>
      <c r="N460" s="1" t="s">
        <v>48</v>
      </c>
      <c r="O460" s="9">
        <v>10</v>
      </c>
      <c r="P460" s="1">
        <f>ROUNDUP(1240*(1-$F$3),2)</f>
        <v>1240</v>
      </c>
      <c r="Q460" s="1" t="s">
        <v>49</v>
      </c>
      <c r="R460" s="1" t="s">
        <v>2806</v>
      </c>
      <c r="S460" s="1" t="s">
        <v>2807</v>
      </c>
      <c r="T460" s="9">
        <v>10</v>
      </c>
      <c r="U460" s="1">
        <f>ROUNDUP(1127.27*(1-$F$3),2)</f>
        <v>1127.27</v>
      </c>
      <c r="V460" s="1">
        <v>591</v>
      </c>
      <c r="Y460" s="1" t="s">
        <v>2808</v>
      </c>
      <c r="Z460" s="1" t="s">
        <v>76</v>
      </c>
      <c r="AA460" s="12">
        <v>44238</v>
      </c>
      <c r="AB460" s="1" t="s">
        <v>66</v>
      </c>
      <c r="AC460" s="1" t="s">
        <v>143</v>
      </c>
      <c r="AD460" s="1" t="s">
        <v>847</v>
      </c>
      <c r="AE460" s="1" t="s">
        <v>69</v>
      </c>
      <c r="AG460" s="1">
        <v>9642140</v>
      </c>
    </row>
    <row r="461" spans="3:33" s="1" customFormat="1" x14ac:dyDescent="0.25">
      <c r="C461" s="1" t="s">
        <v>2809</v>
      </c>
      <c r="D461" s="1" t="s">
        <v>2810</v>
      </c>
      <c r="E461" s="1" t="s">
        <v>2811</v>
      </c>
      <c r="F461" s="13" t="s">
        <v>6952</v>
      </c>
      <c r="G461" s="1" t="s">
        <v>2812</v>
      </c>
      <c r="H461" s="1" t="s">
        <v>160</v>
      </c>
      <c r="I461" s="1">
        <v>286</v>
      </c>
      <c r="J461" s="1" t="s">
        <v>46</v>
      </c>
      <c r="K461" s="1" t="s">
        <v>1566</v>
      </c>
      <c r="M461" s="1" t="s">
        <v>1061</v>
      </c>
      <c r="N461" s="1" t="s">
        <v>139</v>
      </c>
      <c r="O461" s="9">
        <v>14</v>
      </c>
      <c r="P461" s="1">
        <f>ROUNDUP(970*(1-$F$3),2)</f>
        <v>970</v>
      </c>
      <c r="Q461" s="1" t="s">
        <v>49</v>
      </c>
      <c r="R461" s="1" t="s">
        <v>2813</v>
      </c>
      <c r="S461" s="1" t="s">
        <v>2814</v>
      </c>
      <c r="T461" s="9">
        <v>10</v>
      </c>
      <c r="U461" s="1">
        <f>ROUNDUP(881.82*(1-$F$3),2)</f>
        <v>881.82</v>
      </c>
      <c r="V461" s="1">
        <v>257</v>
      </c>
      <c r="Y461" s="1" t="s">
        <v>2815</v>
      </c>
      <c r="Z461" s="1" t="s">
        <v>53</v>
      </c>
      <c r="AA461" s="12">
        <v>43707</v>
      </c>
      <c r="AB461" s="1" t="s">
        <v>95</v>
      </c>
      <c r="AC461" s="1" t="s">
        <v>453</v>
      </c>
      <c r="AD461" s="1" t="s">
        <v>2816</v>
      </c>
      <c r="AE461" s="1" t="s">
        <v>69</v>
      </c>
      <c r="AG461" s="1">
        <v>9147770</v>
      </c>
    </row>
    <row r="462" spans="3:33" s="1" customFormat="1" x14ac:dyDescent="0.25">
      <c r="C462" s="1" t="s">
        <v>2817</v>
      </c>
      <c r="D462" s="1" t="s">
        <v>2818</v>
      </c>
      <c r="E462" s="1" t="s">
        <v>2819</v>
      </c>
      <c r="F462" s="13" t="s">
        <v>6952</v>
      </c>
      <c r="G462" s="1" t="s">
        <v>2820</v>
      </c>
      <c r="H462" s="1" t="s">
        <v>160</v>
      </c>
      <c r="I462" s="1">
        <v>368</v>
      </c>
      <c r="J462" s="1" t="s">
        <v>46</v>
      </c>
      <c r="M462" s="1" t="s">
        <v>756</v>
      </c>
      <c r="N462" s="1" t="s">
        <v>48</v>
      </c>
      <c r="O462" s="9">
        <v>12</v>
      </c>
      <c r="P462" s="1">
        <f>ROUNDUP(1030*(1-$F$3),2)</f>
        <v>1030</v>
      </c>
      <c r="Q462" s="1" t="s">
        <v>49</v>
      </c>
      <c r="R462" s="1" t="s">
        <v>2821</v>
      </c>
      <c r="S462" s="1" t="s">
        <v>2822</v>
      </c>
      <c r="T462" s="9">
        <v>10</v>
      </c>
      <c r="U462" s="1">
        <f>ROUNDUP(936.36*(1-$F$3),2)</f>
        <v>936.36</v>
      </c>
      <c r="V462" s="1">
        <v>403</v>
      </c>
      <c r="Y462" s="1" t="s">
        <v>2823</v>
      </c>
      <c r="Z462" s="1" t="s">
        <v>53</v>
      </c>
      <c r="AA462" s="12">
        <v>44476</v>
      </c>
      <c r="AB462" s="1" t="s">
        <v>234</v>
      </c>
      <c r="AC462" s="1" t="s">
        <v>235</v>
      </c>
      <c r="AD462" s="1" t="s">
        <v>236</v>
      </c>
      <c r="AE462" s="1" t="s">
        <v>69</v>
      </c>
      <c r="AG462" s="1">
        <v>9979950</v>
      </c>
    </row>
    <row r="463" spans="3:33" s="1" customFormat="1" x14ac:dyDescent="0.25">
      <c r="C463" s="1" t="s">
        <v>2824</v>
      </c>
      <c r="D463" s="1" t="s">
        <v>2825</v>
      </c>
      <c r="E463" s="1" t="s">
        <v>2826</v>
      </c>
      <c r="F463" s="13" t="s">
        <v>6952</v>
      </c>
      <c r="G463" s="1" t="s">
        <v>2827</v>
      </c>
      <c r="H463" s="1" t="s">
        <v>61</v>
      </c>
      <c r="I463" s="1">
        <v>223</v>
      </c>
      <c r="J463" s="1" t="s">
        <v>46</v>
      </c>
      <c r="M463" s="1" t="s">
        <v>1061</v>
      </c>
      <c r="N463" s="1" t="s">
        <v>48</v>
      </c>
      <c r="O463" s="9">
        <v>18</v>
      </c>
      <c r="P463" s="1">
        <f>ROUNDUP(880*(1-$F$3),2)</f>
        <v>880</v>
      </c>
      <c r="Q463" s="1" t="s">
        <v>49</v>
      </c>
      <c r="R463" s="1" t="s">
        <v>2828</v>
      </c>
      <c r="S463" s="1" t="s">
        <v>2829</v>
      </c>
      <c r="T463" s="9">
        <v>10</v>
      </c>
      <c r="U463" s="1">
        <f>ROUNDUP(800*(1-$F$3),2)</f>
        <v>800</v>
      </c>
      <c r="V463" s="1">
        <v>341</v>
      </c>
      <c r="Y463" s="1" t="s">
        <v>2830</v>
      </c>
      <c r="Z463" s="1" t="s">
        <v>128</v>
      </c>
      <c r="AA463" s="12">
        <v>43616</v>
      </c>
      <c r="AB463" s="1" t="s">
        <v>234</v>
      </c>
      <c r="AC463" s="1" t="s">
        <v>528</v>
      </c>
      <c r="AD463" s="1" t="s">
        <v>1989</v>
      </c>
      <c r="AE463" s="1" t="s">
        <v>69</v>
      </c>
      <c r="AG463" s="1">
        <v>9064540</v>
      </c>
    </row>
    <row r="464" spans="3:33" s="1" customFormat="1" x14ac:dyDescent="0.25">
      <c r="C464" s="1" t="s">
        <v>2831</v>
      </c>
      <c r="D464" s="1" t="s">
        <v>2832</v>
      </c>
      <c r="E464" s="1" t="s">
        <v>2833</v>
      </c>
      <c r="F464" s="13" t="s">
        <v>6952</v>
      </c>
      <c r="G464" s="1" t="s">
        <v>2834</v>
      </c>
      <c r="H464" s="1" t="s">
        <v>61</v>
      </c>
      <c r="I464" s="1">
        <v>368</v>
      </c>
      <c r="J464" s="1" t="s">
        <v>46</v>
      </c>
      <c r="M464" s="1" t="s">
        <v>47</v>
      </c>
      <c r="N464" s="1" t="s">
        <v>48</v>
      </c>
      <c r="O464" s="9">
        <v>6</v>
      </c>
      <c r="P464" s="1">
        <f>ROUNDUP(1040*(1-$F$3),2)</f>
        <v>1040</v>
      </c>
      <c r="Q464" s="1" t="s">
        <v>49</v>
      </c>
      <c r="R464" s="1" t="s">
        <v>2835</v>
      </c>
      <c r="S464" s="1" t="s">
        <v>2836</v>
      </c>
      <c r="T464" s="9">
        <v>10</v>
      </c>
      <c r="U464" s="1">
        <f>ROUNDUP(945.45*(1-$F$3),2)</f>
        <v>945.45</v>
      </c>
      <c r="V464" s="1">
        <v>398</v>
      </c>
      <c r="Y464" s="1" t="s">
        <v>2837</v>
      </c>
      <c r="Z464" s="1" t="s">
        <v>53</v>
      </c>
      <c r="AA464" s="12">
        <v>45712</v>
      </c>
      <c r="AB464" s="1" t="s">
        <v>66</v>
      </c>
      <c r="AC464" s="1" t="s">
        <v>491</v>
      </c>
      <c r="AD464" s="1" t="s">
        <v>492</v>
      </c>
      <c r="AE464" s="1" t="s">
        <v>69</v>
      </c>
      <c r="AG464" s="1">
        <v>11627620</v>
      </c>
    </row>
    <row r="465" spans="1:33" s="1" customFormat="1" x14ac:dyDescent="0.25">
      <c r="C465" s="1" t="s">
        <v>2838</v>
      </c>
      <c r="D465" s="1" t="s">
        <v>2832</v>
      </c>
      <c r="E465" s="1" t="s">
        <v>2839</v>
      </c>
      <c r="F465" s="13" t="s">
        <v>6952</v>
      </c>
      <c r="G465" s="1" t="s">
        <v>2840</v>
      </c>
      <c r="H465" s="1" t="s">
        <v>61</v>
      </c>
      <c r="I465" s="1">
        <v>336</v>
      </c>
      <c r="J465" s="1" t="s">
        <v>46</v>
      </c>
      <c r="M465" s="1" t="s">
        <v>47</v>
      </c>
      <c r="N465" s="1" t="s">
        <v>48</v>
      </c>
      <c r="O465" s="9">
        <v>8</v>
      </c>
      <c r="P465" s="1">
        <f>ROUNDUP(1210*(1-$F$3),2)</f>
        <v>1210</v>
      </c>
      <c r="Q465" s="1" t="s">
        <v>49</v>
      </c>
      <c r="R465" s="1" t="s">
        <v>2841</v>
      </c>
      <c r="S465" s="1" t="s">
        <v>2842</v>
      </c>
      <c r="T465" s="9">
        <v>22</v>
      </c>
      <c r="U465" s="1">
        <f>ROUNDUP(991.8*(1-$F$3),2)</f>
        <v>991.8</v>
      </c>
      <c r="V465" s="1">
        <v>354</v>
      </c>
      <c r="Y465" s="1" t="s">
        <v>2843</v>
      </c>
      <c r="Z465" s="1" t="s">
        <v>76</v>
      </c>
      <c r="AA465" s="12">
        <v>45642</v>
      </c>
      <c r="AB465" s="1" t="s">
        <v>66</v>
      </c>
      <c r="AC465" s="1" t="s">
        <v>143</v>
      </c>
      <c r="AD465" s="1" t="s">
        <v>144</v>
      </c>
      <c r="AE465" s="1" t="s">
        <v>69</v>
      </c>
      <c r="AG465" s="1">
        <v>11536080</v>
      </c>
    </row>
    <row r="466" spans="1:33" s="1" customFormat="1" x14ac:dyDescent="0.25">
      <c r="C466" s="1" t="s">
        <v>2844</v>
      </c>
      <c r="D466" s="1" t="s">
        <v>2845</v>
      </c>
      <c r="E466" s="1" t="s">
        <v>842</v>
      </c>
      <c r="F466" s="13" t="s">
        <v>6952</v>
      </c>
      <c r="G466" s="1" t="s">
        <v>843</v>
      </c>
      <c r="H466" s="1" t="s">
        <v>384</v>
      </c>
      <c r="I466" s="1">
        <v>464</v>
      </c>
      <c r="J466" s="1" t="s">
        <v>46</v>
      </c>
      <c r="M466" s="1" t="s">
        <v>62</v>
      </c>
      <c r="N466" s="1" t="s">
        <v>139</v>
      </c>
      <c r="O466" s="9">
        <v>10</v>
      </c>
      <c r="P466" s="1">
        <f>ROUNDUP(630*(1-$F$3),2)</f>
        <v>630</v>
      </c>
      <c r="Q466" s="1" t="s">
        <v>49</v>
      </c>
      <c r="R466" s="1" t="s">
        <v>2846</v>
      </c>
      <c r="S466" s="1" t="s">
        <v>2847</v>
      </c>
      <c r="T466" s="9">
        <v>10</v>
      </c>
      <c r="U466" s="1">
        <f>ROUNDUP(572.73*(1-$F$3),2)</f>
        <v>572.73</v>
      </c>
      <c r="V466" s="1">
        <v>209</v>
      </c>
      <c r="Y466" s="1" t="s">
        <v>846</v>
      </c>
      <c r="Z466" s="1" t="s">
        <v>76</v>
      </c>
      <c r="AA466" s="12">
        <v>44450</v>
      </c>
      <c r="AB466" s="1" t="s">
        <v>66</v>
      </c>
      <c r="AC466" s="1" t="s">
        <v>143</v>
      </c>
      <c r="AD466" s="1" t="s">
        <v>847</v>
      </c>
      <c r="AE466" s="1" t="s">
        <v>878</v>
      </c>
      <c r="AG466" s="1">
        <v>9803310</v>
      </c>
    </row>
    <row r="467" spans="1:33" s="1" customFormat="1" x14ac:dyDescent="0.25">
      <c r="C467" s="1" t="s">
        <v>2848</v>
      </c>
      <c r="D467" s="1" t="s">
        <v>2845</v>
      </c>
      <c r="E467" s="1" t="s">
        <v>855</v>
      </c>
      <c r="F467" s="13" t="s">
        <v>6952</v>
      </c>
      <c r="G467" s="1" t="s">
        <v>843</v>
      </c>
      <c r="H467" s="1" t="s">
        <v>384</v>
      </c>
      <c r="I467" s="1">
        <v>288</v>
      </c>
      <c r="J467" s="1" t="s">
        <v>46</v>
      </c>
      <c r="M467" s="1" t="s">
        <v>756</v>
      </c>
      <c r="N467" s="1" t="s">
        <v>139</v>
      </c>
      <c r="O467" s="9">
        <v>16</v>
      </c>
      <c r="P467" s="1">
        <f>ROUNDUP(550*(1-$F$3),2)</f>
        <v>550</v>
      </c>
      <c r="Q467" s="1" t="s">
        <v>49</v>
      </c>
      <c r="R467" s="1" t="s">
        <v>2849</v>
      </c>
      <c r="S467" s="1" t="s">
        <v>2850</v>
      </c>
      <c r="T467" s="9">
        <v>10</v>
      </c>
      <c r="U467" s="1">
        <f>ROUNDUP(500*(1-$F$3),2)</f>
        <v>500</v>
      </c>
      <c r="V467" s="1">
        <v>137</v>
      </c>
      <c r="Y467" s="1" t="s">
        <v>858</v>
      </c>
      <c r="Z467" s="1" t="s">
        <v>53</v>
      </c>
      <c r="AA467" s="12">
        <v>44464</v>
      </c>
      <c r="AB467" s="1" t="s">
        <v>66</v>
      </c>
      <c r="AC467" s="1" t="s">
        <v>491</v>
      </c>
      <c r="AD467" s="1" t="s">
        <v>492</v>
      </c>
      <c r="AE467" s="1" t="s">
        <v>878</v>
      </c>
      <c r="AG467" s="1">
        <v>9812100</v>
      </c>
    </row>
    <row r="468" spans="1:33" s="1" customFormat="1" x14ac:dyDescent="0.25">
      <c r="C468" s="1" t="s">
        <v>2851</v>
      </c>
      <c r="D468" s="1" t="s">
        <v>2852</v>
      </c>
      <c r="E468" s="1" t="s">
        <v>1738</v>
      </c>
      <c r="F468" s="13" t="s">
        <v>6952</v>
      </c>
      <c r="G468" s="1" t="s">
        <v>888</v>
      </c>
      <c r="H468" s="1" t="s">
        <v>82</v>
      </c>
      <c r="I468" s="1">
        <v>768</v>
      </c>
      <c r="J468" s="1" t="s">
        <v>46</v>
      </c>
      <c r="M468" s="1" t="s">
        <v>47</v>
      </c>
      <c r="N468" s="1" t="s">
        <v>48</v>
      </c>
      <c r="O468" s="9">
        <v>4</v>
      </c>
      <c r="P468" s="1">
        <f>ROUNDUP(1600*(1-$F$3),2)</f>
        <v>1600</v>
      </c>
      <c r="Q468" s="1" t="s">
        <v>49</v>
      </c>
      <c r="R468" s="1" t="s">
        <v>2853</v>
      </c>
      <c r="S468" s="1" t="s">
        <v>2854</v>
      </c>
      <c r="T468" s="9">
        <v>10</v>
      </c>
      <c r="U468" s="1">
        <f>ROUNDUP(1454.55*(1-$F$3),2)</f>
        <v>1454.55</v>
      </c>
      <c r="V468" s="1">
        <v>855</v>
      </c>
      <c r="Y468" s="1" t="s">
        <v>1741</v>
      </c>
      <c r="Z468" s="1" t="s">
        <v>53</v>
      </c>
      <c r="AA468" s="12">
        <v>45286</v>
      </c>
      <c r="AB468" s="1" t="s">
        <v>334</v>
      </c>
      <c r="AC468" s="1" t="s">
        <v>892</v>
      </c>
      <c r="AD468" s="1" t="s">
        <v>893</v>
      </c>
      <c r="AE468" s="1" t="s">
        <v>69</v>
      </c>
      <c r="AG468" s="1">
        <v>11168220</v>
      </c>
    </row>
    <row r="469" spans="1:33" s="1" customFormat="1" x14ac:dyDescent="0.25">
      <c r="C469" s="1" t="s">
        <v>2855</v>
      </c>
      <c r="D469" s="1" t="s">
        <v>2852</v>
      </c>
      <c r="E469" s="1" t="s">
        <v>2856</v>
      </c>
      <c r="F469" s="13" t="s">
        <v>6952</v>
      </c>
      <c r="G469" s="1" t="s">
        <v>2453</v>
      </c>
      <c r="H469" s="1" t="s">
        <v>82</v>
      </c>
      <c r="I469" s="1">
        <v>544</v>
      </c>
      <c r="J469" s="1" t="s">
        <v>46</v>
      </c>
      <c r="M469" s="1" t="s">
        <v>176</v>
      </c>
      <c r="N469" s="1" t="s">
        <v>139</v>
      </c>
      <c r="O469" s="9">
        <v>5</v>
      </c>
      <c r="P469" s="1">
        <f>ROUNDUP(1290*(1-$F$3),2)</f>
        <v>1290</v>
      </c>
      <c r="Q469" s="1" t="s">
        <v>49</v>
      </c>
      <c r="R469" s="1" t="s">
        <v>2857</v>
      </c>
      <c r="S469" s="1" t="s">
        <v>2858</v>
      </c>
      <c r="T469" s="9">
        <v>10</v>
      </c>
      <c r="U469" s="1">
        <f>ROUNDUP(1172.73*(1-$F$3),2)</f>
        <v>1172.73</v>
      </c>
      <c r="V469" s="1">
        <v>643</v>
      </c>
      <c r="Y469" s="1" t="s">
        <v>2859</v>
      </c>
      <c r="Z469" s="1" t="s">
        <v>711</v>
      </c>
      <c r="AA469" s="12">
        <v>44537</v>
      </c>
      <c r="AB469" s="1" t="s">
        <v>2860</v>
      </c>
      <c r="AC469" s="1" t="s">
        <v>2861</v>
      </c>
      <c r="AD469" s="1" t="s">
        <v>2861</v>
      </c>
      <c r="AE469" s="1" t="s">
        <v>878</v>
      </c>
      <c r="AG469" s="1">
        <v>10025130</v>
      </c>
    </row>
    <row r="470" spans="1:33" s="1" customFormat="1" x14ac:dyDescent="0.25">
      <c r="C470" s="1" t="s">
        <v>2862</v>
      </c>
      <c r="D470" s="1" t="s">
        <v>2863</v>
      </c>
      <c r="E470" s="1" t="s">
        <v>2864</v>
      </c>
      <c r="F470" s="13" t="s">
        <v>6952</v>
      </c>
      <c r="G470" s="1" t="s">
        <v>2865</v>
      </c>
      <c r="H470" s="1" t="s">
        <v>160</v>
      </c>
      <c r="I470" s="1">
        <v>224</v>
      </c>
      <c r="J470" s="1" t="s">
        <v>46</v>
      </c>
      <c r="M470" s="1" t="s">
        <v>62</v>
      </c>
      <c r="N470" s="1" t="s">
        <v>48</v>
      </c>
      <c r="O470" s="9">
        <v>6</v>
      </c>
      <c r="P470" s="1">
        <f>ROUNDUP(930*(1-$F$3),2)</f>
        <v>930</v>
      </c>
      <c r="Q470" s="1" t="s">
        <v>49</v>
      </c>
      <c r="R470" s="1" t="s">
        <v>2866</v>
      </c>
      <c r="S470" s="1" t="s">
        <v>2867</v>
      </c>
      <c r="T470" s="9">
        <v>10</v>
      </c>
      <c r="U470" s="1">
        <f>ROUNDUP(845.45*(1-$F$3),2)</f>
        <v>845.45</v>
      </c>
      <c r="V470" s="1">
        <v>256</v>
      </c>
      <c r="Y470" s="1" t="s">
        <v>2868</v>
      </c>
      <c r="Z470" s="1" t="s">
        <v>53</v>
      </c>
      <c r="AA470" s="12">
        <v>45565</v>
      </c>
      <c r="AB470" s="1" t="s">
        <v>234</v>
      </c>
      <c r="AC470" s="1" t="s">
        <v>235</v>
      </c>
      <c r="AD470" s="1" t="s">
        <v>350</v>
      </c>
      <c r="AE470" s="1" t="s">
        <v>69</v>
      </c>
      <c r="AG470" s="1">
        <v>11490190</v>
      </c>
    </row>
    <row r="471" spans="1:33" s="11" customFormat="1" x14ac:dyDescent="0.25">
      <c r="A471" s="11" t="s">
        <v>6953</v>
      </c>
      <c r="C471" s="11" t="s">
        <v>2869</v>
      </c>
      <c r="D471" s="11" t="s">
        <v>2863</v>
      </c>
      <c r="E471" s="11" t="s">
        <v>2870</v>
      </c>
      <c r="F471" s="14" t="s">
        <v>6952</v>
      </c>
      <c r="G471" s="11" t="s">
        <v>2865</v>
      </c>
      <c r="H471" s="11" t="s">
        <v>160</v>
      </c>
      <c r="I471" s="11">
        <v>224</v>
      </c>
      <c r="J471" s="11" t="s">
        <v>46</v>
      </c>
      <c r="M471" s="11" t="s">
        <v>62</v>
      </c>
      <c r="N471" s="11" t="s">
        <v>48</v>
      </c>
      <c r="O471" s="23">
        <v>10</v>
      </c>
      <c r="P471" s="11">
        <f>ROUNDUP(930*(1-$F$3),2)</f>
        <v>930</v>
      </c>
      <c r="Q471" s="11" t="s">
        <v>49</v>
      </c>
      <c r="R471" s="11" t="s">
        <v>2871</v>
      </c>
      <c r="S471" s="11" t="s">
        <v>2872</v>
      </c>
      <c r="T471" s="23">
        <v>10</v>
      </c>
      <c r="U471" s="11">
        <f>ROUNDUP(845.45*(1-$F$3),2)</f>
        <v>845.45</v>
      </c>
      <c r="V471" s="11">
        <v>296</v>
      </c>
      <c r="Y471" s="11" t="s">
        <v>2873</v>
      </c>
      <c r="Z471" s="11" t="s">
        <v>128</v>
      </c>
      <c r="AA471" s="15">
        <v>45565</v>
      </c>
      <c r="AB471" s="11" t="s">
        <v>234</v>
      </c>
      <c r="AC471" s="11" t="s">
        <v>235</v>
      </c>
      <c r="AD471" s="11" t="s">
        <v>350</v>
      </c>
      <c r="AE471" s="11" t="s">
        <v>69</v>
      </c>
      <c r="AG471" s="11">
        <v>11490200</v>
      </c>
    </row>
    <row r="472" spans="1:33" s="1" customFormat="1" x14ac:dyDescent="0.25">
      <c r="C472" s="1" t="s">
        <v>2874</v>
      </c>
      <c r="D472" s="1" t="s">
        <v>2875</v>
      </c>
      <c r="E472" s="1" t="s">
        <v>2876</v>
      </c>
      <c r="F472" s="13" t="s">
        <v>6952</v>
      </c>
      <c r="G472" s="1" t="s">
        <v>2877</v>
      </c>
      <c r="H472" s="1" t="s">
        <v>160</v>
      </c>
      <c r="I472" s="1">
        <v>526</v>
      </c>
      <c r="J472" s="1" t="s">
        <v>46</v>
      </c>
      <c r="M472" s="1" t="s">
        <v>169</v>
      </c>
      <c r="N472" s="1" t="s">
        <v>48</v>
      </c>
      <c r="O472" s="9">
        <v>8</v>
      </c>
      <c r="P472" s="1">
        <f>ROUNDUP(1410*(1-$F$3),2)</f>
        <v>1410</v>
      </c>
      <c r="Q472" s="1" t="s">
        <v>49</v>
      </c>
      <c r="R472" s="1" t="s">
        <v>2878</v>
      </c>
      <c r="S472" s="1" t="s">
        <v>2879</v>
      </c>
      <c r="T472" s="9">
        <v>10</v>
      </c>
      <c r="U472" s="1">
        <f>ROUNDUP(1281.82*(1-$F$3),2)</f>
        <v>1281.82</v>
      </c>
      <c r="V472" s="1">
        <v>547</v>
      </c>
      <c r="Y472" s="1" t="s">
        <v>2880</v>
      </c>
      <c r="Z472" s="1" t="s">
        <v>128</v>
      </c>
      <c r="AA472" s="12">
        <v>44799</v>
      </c>
      <c r="AB472" s="1" t="s">
        <v>286</v>
      </c>
      <c r="AC472" s="1" t="s">
        <v>2881</v>
      </c>
      <c r="AD472" s="1" t="s">
        <v>2882</v>
      </c>
      <c r="AE472" s="1" t="s">
        <v>69</v>
      </c>
      <c r="AG472" s="1">
        <v>10555960</v>
      </c>
    </row>
    <row r="473" spans="1:33" s="1" customFormat="1" x14ac:dyDescent="0.25">
      <c r="C473" s="1" t="s">
        <v>2883</v>
      </c>
      <c r="D473" s="1" t="s">
        <v>2884</v>
      </c>
      <c r="E473" s="1" t="s">
        <v>2885</v>
      </c>
      <c r="F473" s="13" t="s">
        <v>6952</v>
      </c>
      <c r="G473" s="1" t="s">
        <v>2886</v>
      </c>
      <c r="H473" s="1" t="s">
        <v>82</v>
      </c>
      <c r="I473" s="1">
        <v>320</v>
      </c>
      <c r="J473" s="1" t="s">
        <v>46</v>
      </c>
      <c r="M473" s="1" t="s">
        <v>161</v>
      </c>
      <c r="N473" s="1" t="s">
        <v>48</v>
      </c>
      <c r="O473" s="9">
        <v>5</v>
      </c>
      <c r="P473" s="1">
        <f>ROUNDUP(2200*(1-$F$3),2)</f>
        <v>2200</v>
      </c>
      <c r="Q473" s="1" t="s">
        <v>49</v>
      </c>
      <c r="R473" s="1" t="s">
        <v>2887</v>
      </c>
      <c r="S473" s="1" t="s">
        <v>2888</v>
      </c>
      <c r="T473" s="9">
        <v>10</v>
      </c>
      <c r="U473" s="1">
        <f>ROUNDUP(2000*(1-$F$3),2)</f>
        <v>2000</v>
      </c>
      <c r="V473" s="1">
        <v>812</v>
      </c>
      <c r="Y473" s="1" t="s">
        <v>2889</v>
      </c>
      <c r="Z473" s="1" t="s">
        <v>128</v>
      </c>
      <c r="AA473" s="12">
        <v>45167</v>
      </c>
      <c r="AB473" s="1" t="s">
        <v>573</v>
      </c>
      <c r="AC473" s="1" t="s">
        <v>66</v>
      </c>
      <c r="AD473" s="1" t="s">
        <v>574</v>
      </c>
      <c r="AE473" s="1" t="s">
        <v>69</v>
      </c>
      <c r="AG473" s="1">
        <v>10933700</v>
      </c>
    </row>
    <row r="474" spans="1:33" s="1" customFormat="1" x14ac:dyDescent="0.25">
      <c r="C474" s="1" t="s">
        <v>2890</v>
      </c>
      <c r="D474" s="1" t="s">
        <v>2884</v>
      </c>
      <c r="E474" s="1" t="s">
        <v>2891</v>
      </c>
      <c r="F474" s="13" t="s">
        <v>6952</v>
      </c>
      <c r="G474" s="1" t="s">
        <v>2886</v>
      </c>
      <c r="H474" s="1" t="s">
        <v>82</v>
      </c>
      <c r="I474" s="1">
        <v>384</v>
      </c>
      <c r="J474" s="1" t="s">
        <v>46</v>
      </c>
      <c r="M474" s="1" t="s">
        <v>62</v>
      </c>
      <c r="N474" s="1" t="s">
        <v>48</v>
      </c>
      <c r="O474" s="9">
        <v>7</v>
      </c>
      <c r="P474" s="1">
        <f>ROUNDUP(2010*(1-$F$3),2)</f>
        <v>2010</v>
      </c>
      <c r="Q474" s="1" t="s">
        <v>49</v>
      </c>
      <c r="R474" s="1" t="s">
        <v>2892</v>
      </c>
      <c r="S474" s="1" t="s">
        <v>2893</v>
      </c>
      <c r="T474" s="9">
        <v>10</v>
      </c>
      <c r="U474" s="1">
        <f>ROUNDUP(1827.27*(1-$F$3),2)</f>
        <v>1827.27</v>
      </c>
      <c r="V474" s="1">
        <v>919</v>
      </c>
      <c r="Y474" s="1" t="s">
        <v>2894</v>
      </c>
      <c r="Z474" s="1" t="s">
        <v>128</v>
      </c>
      <c r="AA474" s="12">
        <v>44636</v>
      </c>
      <c r="AB474" s="1" t="s">
        <v>573</v>
      </c>
      <c r="AC474" s="1" t="s">
        <v>66</v>
      </c>
      <c r="AD474" s="1" t="s">
        <v>2738</v>
      </c>
      <c r="AE474" s="1" t="s">
        <v>69</v>
      </c>
      <c r="AG474" s="1">
        <v>10240320</v>
      </c>
    </row>
    <row r="475" spans="1:33" s="1" customFormat="1" x14ac:dyDescent="0.25">
      <c r="C475" s="1" t="s">
        <v>2895</v>
      </c>
      <c r="D475" s="1" t="s">
        <v>2884</v>
      </c>
      <c r="E475" s="1" t="s">
        <v>2896</v>
      </c>
      <c r="F475" s="13" t="s">
        <v>6952</v>
      </c>
      <c r="G475" s="1" t="s">
        <v>2886</v>
      </c>
      <c r="H475" s="1" t="s">
        <v>82</v>
      </c>
      <c r="I475" s="1">
        <v>704</v>
      </c>
      <c r="J475" s="1" t="s">
        <v>46</v>
      </c>
      <c r="M475" s="1" t="s">
        <v>62</v>
      </c>
      <c r="N475" s="1" t="s">
        <v>48</v>
      </c>
      <c r="O475" s="9"/>
      <c r="P475" s="1">
        <f>ROUNDUP(3730*(1-$F$3),2)</f>
        <v>3730</v>
      </c>
      <c r="Q475" s="1" t="s">
        <v>49</v>
      </c>
      <c r="R475" s="1" t="s">
        <v>2897</v>
      </c>
      <c r="S475" s="1" t="s">
        <v>2898</v>
      </c>
      <c r="T475" s="9">
        <v>10</v>
      </c>
      <c r="U475" s="1">
        <f>ROUNDUP(3390.91*(1-$F$3),2)</f>
        <v>3390.91</v>
      </c>
      <c r="V475" s="1">
        <v>1776</v>
      </c>
      <c r="Y475" s="1" t="s">
        <v>2899</v>
      </c>
      <c r="Z475" s="1" t="s">
        <v>128</v>
      </c>
      <c r="AA475" s="12">
        <v>45197</v>
      </c>
      <c r="AB475" s="1" t="s">
        <v>573</v>
      </c>
      <c r="AC475" s="1" t="s">
        <v>66</v>
      </c>
      <c r="AD475" s="1" t="s">
        <v>2738</v>
      </c>
      <c r="AE475" s="1" t="s">
        <v>69</v>
      </c>
      <c r="AG475" s="1">
        <v>11092800</v>
      </c>
    </row>
    <row r="476" spans="1:33" s="1" customFormat="1" x14ac:dyDescent="0.25">
      <c r="C476" s="1" t="s">
        <v>2900</v>
      </c>
      <c r="D476" s="1" t="s">
        <v>2901</v>
      </c>
      <c r="E476" s="1" t="s">
        <v>2902</v>
      </c>
      <c r="F476" s="13" t="s">
        <v>6952</v>
      </c>
      <c r="G476" s="1" t="s">
        <v>2903</v>
      </c>
      <c r="H476" s="1" t="s">
        <v>82</v>
      </c>
      <c r="I476" s="1">
        <v>192</v>
      </c>
      <c r="J476" s="1" t="s">
        <v>46</v>
      </c>
      <c r="M476" s="1" t="s">
        <v>169</v>
      </c>
      <c r="N476" s="1" t="s">
        <v>48</v>
      </c>
      <c r="O476" s="9">
        <v>10</v>
      </c>
      <c r="P476" s="1">
        <f>ROUNDUP(1060*(1-$F$3),2)</f>
        <v>1060</v>
      </c>
      <c r="Q476" s="1" t="s">
        <v>49</v>
      </c>
      <c r="R476" s="1" t="s">
        <v>2904</v>
      </c>
      <c r="S476" s="1" t="s">
        <v>2905</v>
      </c>
      <c r="T476" s="9">
        <v>10</v>
      </c>
      <c r="U476" s="1">
        <f>ROUNDUP(963.64*(1-$F$3),2)</f>
        <v>963.64</v>
      </c>
      <c r="V476" s="1">
        <v>431</v>
      </c>
      <c r="Y476" s="1" t="s">
        <v>2906</v>
      </c>
      <c r="Z476" s="1" t="s">
        <v>711</v>
      </c>
      <c r="AA476" s="12">
        <v>44809</v>
      </c>
      <c r="AB476" s="1" t="s">
        <v>573</v>
      </c>
      <c r="AC476" s="1" t="s">
        <v>66</v>
      </c>
      <c r="AD476" s="1" t="s">
        <v>574</v>
      </c>
      <c r="AE476" s="1" t="s">
        <v>69</v>
      </c>
      <c r="AG476" s="1">
        <v>10512000</v>
      </c>
    </row>
    <row r="477" spans="1:33" s="1" customFormat="1" x14ac:dyDescent="0.25">
      <c r="C477" s="1" t="s">
        <v>2907</v>
      </c>
      <c r="D477" s="1" t="s">
        <v>2901</v>
      </c>
      <c r="E477" s="1" t="s">
        <v>2908</v>
      </c>
      <c r="F477" s="13" t="s">
        <v>6952</v>
      </c>
      <c r="G477" s="1" t="s">
        <v>2903</v>
      </c>
      <c r="H477" s="1" t="s">
        <v>82</v>
      </c>
      <c r="I477" s="1">
        <v>192</v>
      </c>
      <c r="J477" s="1" t="s">
        <v>46</v>
      </c>
      <c r="M477" s="1" t="s">
        <v>169</v>
      </c>
      <c r="N477" s="1" t="s">
        <v>48</v>
      </c>
      <c r="O477" s="9">
        <v>7</v>
      </c>
      <c r="P477" s="1">
        <f>ROUNDUP(1250*(1-$F$3),2)</f>
        <v>1250</v>
      </c>
      <c r="Q477" s="1" t="s">
        <v>49</v>
      </c>
      <c r="R477" s="1" t="s">
        <v>2909</v>
      </c>
      <c r="S477" s="1" t="s">
        <v>2910</v>
      </c>
      <c r="T477" s="9">
        <v>10</v>
      </c>
      <c r="U477" s="1">
        <f>ROUNDUP(1136.36*(1-$F$3),2)</f>
        <v>1136.3599999999999</v>
      </c>
      <c r="V477" s="1">
        <v>473</v>
      </c>
      <c r="Y477" s="1" t="s">
        <v>2911</v>
      </c>
      <c r="Z477" s="1" t="s">
        <v>711</v>
      </c>
      <c r="AA477" s="12">
        <v>44603</v>
      </c>
      <c r="AB477" s="1" t="s">
        <v>573</v>
      </c>
      <c r="AC477" s="1" t="s">
        <v>66</v>
      </c>
      <c r="AD477" s="1" t="s">
        <v>574</v>
      </c>
      <c r="AE477" s="1" t="s">
        <v>69</v>
      </c>
      <c r="AG477" s="1">
        <v>10236480</v>
      </c>
    </row>
    <row r="478" spans="1:33" s="1" customFormat="1" x14ac:dyDescent="0.25">
      <c r="C478" s="1" t="s">
        <v>2912</v>
      </c>
      <c r="D478" s="1" t="s">
        <v>2901</v>
      </c>
      <c r="E478" s="1" t="s">
        <v>2913</v>
      </c>
      <c r="F478" s="13" t="s">
        <v>6952</v>
      </c>
      <c r="G478" s="1" t="s">
        <v>2606</v>
      </c>
      <c r="H478" s="1" t="s">
        <v>82</v>
      </c>
      <c r="I478" s="1">
        <v>304</v>
      </c>
      <c r="J478" s="1" t="s">
        <v>46</v>
      </c>
      <c r="M478" s="1" t="s">
        <v>169</v>
      </c>
      <c r="N478" s="1" t="s">
        <v>48</v>
      </c>
      <c r="O478" s="9">
        <v>5</v>
      </c>
      <c r="P478" s="1">
        <f>ROUNDUP(1740*(1-$F$3),2)</f>
        <v>1740</v>
      </c>
      <c r="Q478" s="1" t="s">
        <v>49</v>
      </c>
      <c r="R478" s="1" t="s">
        <v>2914</v>
      </c>
      <c r="S478" s="1" t="s">
        <v>2915</v>
      </c>
      <c r="T478" s="9">
        <v>10</v>
      </c>
      <c r="U478" s="1">
        <f>ROUNDUP(1581.82*(1-$F$3),2)</f>
        <v>1581.82</v>
      </c>
      <c r="V478" s="1">
        <v>913</v>
      </c>
      <c r="Y478" s="1" t="s">
        <v>2916</v>
      </c>
      <c r="Z478" s="1" t="s">
        <v>711</v>
      </c>
      <c r="AA478" s="12">
        <v>44571</v>
      </c>
      <c r="AB478" s="1" t="s">
        <v>573</v>
      </c>
      <c r="AC478" s="1" t="s">
        <v>66</v>
      </c>
      <c r="AD478" s="1" t="s">
        <v>574</v>
      </c>
      <c r="AE478" s="1" t="s">
        <v>69</v>
      </c>
      <c r="AG478" s="1">
        <v>10041650</v>
      </c>
    </row>
    <row r="479" spans="1:33" s="1" customFormat="1" x14ac:dyDescent="0.25">
      <c r="C479" s="1" t="s">
        <v>2917</v>
      </c>
      <c r="D479" s="1" t="s">
        <v>2918</v>
      </c>
      <c r="E479" s="1" t="s">
        <v>2919</v>
      </c>
      <c r="F479" s="13" t="s">
        <v>6952</v>
      </c>
      <c r="G479" s="1" t="s">
        <v>2920</v>
      </c>
      <c r="H479" s="1" t="s">
        <v>160</v>
      </c>
      <c r="I479" s="1">
        <v>352</v>
      </c>
      <c r="J479" s="1" t="s">
        <v>46</v>
      </c>
      <c r="M479" s="1" t="s">
        <v>835</v>
      </c>
      <c r="N479" s="1" t="s">
        <v>139</v>
      </c>
      <c r="O479" s="9">
        <v>12</v>
      </c>
      <c r="P479" s="1">
        <f>ROUNDUP(865.6*(1-$F$3),2)</f>
        <v>865.6</v>
      </c>
      <c r="Q479" s="1" t="s">
        <v>49</v>
      </c>
      <c r="R479" s="1" t="s">
        <v>2921</v>
      </c>
      <c r="S479" s="1" t="s">
        <v>2922</v>
      </c>
      <c r="T479" s="9">
        <v>10</v>
      </c>
      <c r="U479" s="1">
        <f>ROUNDUP(786.91*(1-$F$3),2)</f>
        <v>786.91</v>
      </c>
      <c r="V479" s="1">
        <v>324</v>
      </c>
      <c r="W479" s="1" t="s">
        <v>2923</v>
      </c>
      <c r="X479" s="1" t="s">
        <v>2924</v>
      </c>
      <c r="Y479" s="1" t="s">
        <v>2925</v>
      </c>
      <c r="Z479" s="1" t="s">
        <v>53</v>
      </c>
      <c r="AA479" s="12">
        <v>42178</v>
      </c>
      <c r="AB479" s="1" t="s">
        <v>234</v>
      </c>
      <c r="AC479" s="1" t="s">
        <v>528</v>
      </c>
      <c r="AD479" s="1" t="s">
        <v>2616</v>
      </c>
      <c r="AE479" s="1" t="s">
        <v>69</v>
      </c>
      <c r="AG479" s="1">
        <v>6894270</v>
      </c>
    </row>
    <row r="480" spans="1:33" s="1" customFormat="1" x14ac:dyDescent="0.25">
      <c r="C480" s="1" t="s">
        <v>2926</v>
      </c>
      <c r="D480" s="1" t="s">
        <v>2918</v>
      </c>
      <c r="E480" s="1" t="s">
        <v>2927</v>
      </c>
      <c r="F480" s="13" t="s">
        <v>6952</v>
      </c>
      <c r="G480" s="1" t="s">
        <v>2928</v>
      </c>
      <c r="H480" s="1" t="s">
        <v>160</v>
      </c>
      <c r="I480" s="1">
        <v>218</v>
      </c>
      <c r="J480" s="1" t="s">
        <v>46</v>
      </c>
      <c r="M480" s="1" t="s">
        <v>987</v>
      </c>
      <c r="N480" s="1" t="s">
        <v>139</v>
      </c>
      <c r="O480" s="9">
        <v>26</v>
      </c>
      <c r="P480" s="1">
        <f>ROUNDUP(750*(1-$F$3),2)</f>
        <v>750</v>
      </c>
      <c r="Q480" s="1" t="s">
        <v>49</v>
      </c>
      <c r="R480" s="1" t="s">
        <v>2929</v>
      </c>
      <c r="S480" s="1" t="s">
        <v>2930</v>
      </c>
      <c r="T480" s="9">
        <v>10</v>
      </c>
      <c r="U480" s="1">
        <f>ROUNDUP(681.82*(1-$F$3),2)</f>
        <v>681.82</v>
      </c>
      <c r="V480" s="1">
        <v>204</v>
      </c>
      <c r="Y480" s="1" t="s">
        <v>2931</v>
      </c>
      <c r="Z480" s="1" t="s">
        <v>53</v>
      </c>
      <c r="AA480" s="12">
        <v>42705</v>
      </c>
      <c r="AB480" s="1" t="s">
        <v>234</v>
      </c>
      <c r="AC480" s="1" t="s">
        <v>528</v>
      </c>
      <c r="AD480" s="1" t="s">
        <v>2616</v>
      </c>
      <c r="AE480" s="1" t="s">
        <v>49</v>
      </c>
      <c r="AG480" s="1">
        <v>7923680</v>
      </c>
    </row>
    <row r="481" spans="3:33" s="1" customFormat="1" x14ac:dyDescent="0.25">
      <c r="C481" s="1" t="s">
        <v>2932</v>
      </c>
      <c r="D481" s="1" t="s">
        <v>2918</v>
      </c>
      <c r="E481" s="1" t="s">
        <v>2933</v>
      </c>
      <c r="F481" s="13" t="s">
        <v>6952</v>
      </c>
      <c r="G481" s="1" t="s">
        <v>2934</v>
      </c>
      <c r="H481" s="1" t="s">
        <v>160</v>
      </c>
      <c r="I481" s="1">
        <v>448</v>
      </c>
      <c r="J481" s="1" t="s">
        <v>46</v>
      </c>
      <c r="M481" s="1" t="s">
        <v>1061</v>
      </c>
      <c r="N481" s="1" t="s">
        <v>48</v>
      </c>
      <c r="O481" s="9">
        <v>8</v>
      </c>
      <c r="P481" s="1">
        <f>ROUNDUP(1410*(1-$F$3),2)</f>
        <v>1410</v>
      </c>
      <c r="Q481" s="1" t="s">
        <v>49</v>
      </c>
      <c r="R481" s="1" t="s">
        <v>2935</v>
      </c>
      <c r="S481" s="1" t="s">
        <v>2936</v>
      </c>
      <c r="T481" s="9">
        <v>10</v>
      </c>
      <c r="U481" s="1">
        <f>ROUNDUP(1281.82*(1-$F$3),2)</f>
        <v>1281.82</v>
      </c>
      <c r="V481" s="1">
        <v>547</v>
      </c>
      <c r="Y481" s="1" t="s">
        <v>2937</v>
      </c>
      <c r="Z481" s="1" t="s">
        <v>128</v>
      </c>
      <c r="AA481" s="12">
        <v>43765</v>
      </c>
      <c r="AB481" s="1" t="s">
        <v>234</v>
      </c>
      <c r="AC481" s="1" t="s">
        <v>528</v>
      </c>
      <c r="AD481" s="1" t="s">
        <v>2616</v>
      </c>
      <c r="AE481" s="1" t="s">
        <v>69</v>
      </c>
      <c r="AG481" s="1">
        <v>9157270</v>
      </c>
    </row>
    <row r="482" spans="3:33" s="1" customFormat="1" x14ac:dyDescent="0.25">
      <c r="C482" s="1" t="s">
        <v>2938</v>
      </c>
      <c r="D482" s="1" t="s">
        <v>2918</v>
      </c>
      <c r="E482" s="1" t="s">
        <v>2939</v>
      </c>
      <c r="F482" s="13" t="s">
        <v>6952</v>
      </c>
      <c r="G482" s="1" t="s">
        <v>2940</v>
      </c>
      <c r="H482" s="1" t="s">
        <v>160</v>
      </c>
      <c r="I482" s="1">
        <v>540</v>
      </c>
      <c r="J482" s="1" t="s">
        <v>46</v>
      </c>
      <c r="K482" s="1" t="s">
        <v>1566</v>
      </c>
      <c r="M482" s="1" t="s">
        <v>1061</v>
      </c>
      <c r="N482" s="1" t="s">
        <v>48</v>
      </c>
      <c r="O482" s="9">
        <v>10</v>
      </c>
      <c r="P482" s="1">
        <f>ROUNDUP(1440*(1-$F$3),2)</f>
        <v>1440</v>
      </c>
      <c r="Q482" s="1" t="s">
        <v>49</v>
      </c>
      <c r="R482" s="1" t="s">
        <v>2941</v>
      </c>
      <c r="S482" s="1" t="s">
        <v>2942</v>
      </c>
      <c r="T482" s="9">
        <v>10</v>
      </c>
      <c r="U482" s="1">
        <f>ROUNDUP(1309.09*(1-$F$3),2)</f>
        <v>1309.0899999999999</v>
      </c>
      <c r="V482" s="1">
        <v>551</v>
      </c>
      <c r="Y482" s="1" t="s">
        <v>2943</v>
      </c>
      <c r="Z482" s="1" t="s">
        <v>128</v>
      </c>
      <c r="AA482" s="12">
        <v>43550</v>
      </c>
      <c r="AB482" s="1" t="s">
        <v>234</v>
      </c>
      <c r="AC482" s="1" t="s">
        <v>528</v>
      </c>
      <c r="AD482" s="1" t="s">
        <v>2616</v>
      </c>
      <c r="AE482" s="1" t="s">
        <v>69</v>
      </c>
      <c r="AG482" s="1">
        <v>8987070</v>
      </c>
    </row>
    <row r="483" spans="3:33" s="1" customFormat="1" x14ac:dyDescent="0.25">
      <c r="C483" s="1" t="s">
        <v>2944</v>
      </c>
      <c r="D483" s="1" t="s">
        <v>2918</v>
      </c>
      <c r="E483" s="1" t="s">
        <v>2945</v>
      </c>
      <c r="F483" s="13" t="s">
        <v>6952</v>
      </c>
      <c r="G483" s="1" t="s">
        <v>2946</v>
      </c>
      <c r="H483" s="1" t="s">
        <v>160</v>
      </c>
      <c r="I483" s="1">
        <v>351</v>
      </c>
      <c r="J483" s="1" t="s">
        <v>46</v>
      </c>
      <c r="K483" s="1" t="s">
        <v>1566</v>
      </c>
      <c r="M483" s="1" t="s">
        <v>1061</v>
      </c>
      <c r="N483" s="1" t="s">
        <v>48</v>
      </c>
      <c r="O483" s="9">
        <v>10</v>
      </c>
      <c r="P483" s="1">
        <f>ROUNDUP(1120*(1-$F$3),2)</f>
        <v>1120</v>
      </c>
      <c r="Q483" s="1" t="s">
        <v>49</v>
      </c>
      <c r="R483" s="1" t="s">
        <v>2947</v>
      </c>
      <c r="S483" s="1" t="s">
        <v>2948</v>
      </c>
      <c r="T483" s="9">
        <v>10</v>
      </c>
      <c r="U483" s="1">
        <f>ROUNDUP(1018.18*(1-$F$3),2)</f>
        <v>1018.18</v>
      </c>
      <c r="V483" s="1">
        <v>394</v>
      </c>
      <c r="Y483" s="1" t="s">
        <v>2949</v>
      </c>
      <c r="Z483" s="1" t="s">
        <v>128</v>
      </c>
      <c r="AA483" s="12">
        <v>43501</v>
      </c>
      <c r="AB483" s="1" t="s">
        <v>234</v>
      </c>
      <c r="AC483" s="1" t="s">
        <v>528</v>
      </c>
      <c r="AD483" s="1" t="s">
        <v>2616</v>
      </c>
      <c r="AE483" s="1" t="s">
        <v>69</v>
      </c>
      <c r="AG483" s="1">
        <v>8925100</v>
      </c>
    </row>
    <row r="484" spans="3:33" s="1" customFormat="1" x14ac:dyDescent="0.25">
      <c r="C484" s="1" t="s">
        <v>2950</v>
      </c>
      <c r="D484" s="1" t="s">
        <v>2951</v>
      </c>
      <c r="E484" s="1" t="s">
        <v>2952</v>
      </c>
      <c r="F484" s="13" t="s">
        <v>6952</v>
      </c>
      <c r="G484" s="1" t="s">
        <v>2953</v>
      </c>
      <c r="H484" s="1" t="s">
        <v>160</v>
      </c>
      <c r="I484" s="1">
        <v>64</v>
      </c>
      <c r="J484" s="1" t="s">
        <v>46</v>
      </c>
      <c r="M484" s="1" t="s">
        <v>2310</v>
      </c>
      <c r="N484" s="1" t="s">
        <v>139</v>
      </c>
      <c r="O484" s="9">
        <v>80</v>
      </c>
      <c r="P484" s="1">
        <f>ROUNDUP(240*(1-$F$3),2)</f>
        <v>240</v>
      </c>
      <c r="Q484" s="1" t="s">
        <v>49</v>
      </c>
      <c r="R484" s="1" t="s">
        <v>2954</v>
      </c>
      <c r="S484" s="1" t="s">
        <v>2955</v>
      </c>
      <c r="T484" s="9">
        <v>10</v>
      </c>
      <c r="U484" s="1">
        <f>ROUNDUP(218.18*(1-$F$3),2)</f>
        <v>218.18</v>
      </c>
      <c r="V484" s="1">
        <v>42</v>
      </c>
      <c r="Y484" s="1" t="s">
        <v>2956</v>
      </c>
      <c r="Z484" s="1" t="s">
        <v>128</v>
      </c>
      <c r="AA484" s="12">
        <v>43201</v>
      </c>
      <c r="AB484" s="1" t="s">
        <v>219</v>
      </c>
      <c r="AC484" s="1" t="s">
        <v>220</v>
      </c>
      <c r="AD484" s="1" t="s">
        <v>221</v>
      </c>
      <c r="AE484" s="1" t="s">
        <v>878</v>
      </c>
      <c r="AG484" s="1">
        <v>8569550</v>
      </c>
    </row>
    <row r="485" spans="3:33" s="1" customFormat="1" x14ac:dyDescent="0.25">
      <c r="C485" s="1" t="s">
        <v>2957</v>
      </c>
      <c r="D485" s="1" t="s">
        <v>2958</v>
      </c>
      <c r="E485" s="1" t="s">
        <v>2959</v>
      </c>
      <c r="F485" s="13" t="s">
        <v>6952</v>
      </c>
      <c r="G485" s="1" t="s">
        <v>2960</v>
      </c>
      <c r="H485" s="1" t="s">
        <v>61</v>
      </c>
      <c r="I485" s="1">
        <v>288</v>
      </c>
      <c r="J485" s="1" t="s">
        <v>46</v>
      </c>
      <c r="M485" s="1" t="s">
        <v>62</v>
      </c>
      <c r="N485" s="1" t="s">
        <v>48</v>
      </c>
      <c r="O485" s="9">
        <v>10</v>
      </c>
      <c r="P485" s="1">
        <f>ROUNDUP(1040*(1-$F$3),2)</f>
        <v>1040</v>
      </c>
      <c r="Q485" s="1" t="s">
        <v>49</v>
      </c>
      <c r="R485" s="1" t="s">
        <v>2961</v>
      </c>
      <c r="S485" s="1" t="s">
        <v>2962</v>
      </c>
      <c r="T485" s="9">
        <v>10</v>
      </c>
      <c r="U485" s="1">
        <f>ROUNDUP(945.45*(1-$F$3),2)</f>
        <v>945.45</v>
      </c>
      <c r="V485" s="1">
        <v>392</v>
      </c>
      <c r="Y485" s="1" t="s">
        <v>2963</v>
      </c>
      <c r="Z485" s="1" t="s">
        <v>128</v>
      </c>
      <c r="AA485" s="12">
        <v>44214</v>
      </c>
      <c r="AB485" s="1" t="s">
        <v>219</v>
      </c>
      <c r="AC485" s="1" t="s">
        <v>220</v>
      </c>
      <c r="AD485" s="1" t="s">
        <v>1065</v>
      </c>
      <c r="AE485" s="1" t="s">
        <v>69</v>
      </c>
      <c r="AG485" s="1">
        <v>9610740</v>
      </c>
    </row>
    <row r="486" spans="3:33" s="1" customFormat="1" x14ac:dyDescent="0.25">
      <c r="C486" s="1" t="s">
        <v>2964</v>
      </c>
      <c r="D486" s="1" t="s">
        <v>2965</v>
      </c>
      <c r="E486" s="1" t="s">
        <v>2966</v>
      </c>
      <c r="F486" s="13" t="s">
        <v>6952</v>
      </c>
      <c r="G486" s="1" t="s">
        <v>2967</v>
      </c>
      <c r="H486" s="1" t="s">
        <v>160</v>
      </c>
      <c r="I486" s="1">
        <v>64</v>
      </c>
      <c r="J486" s="1" t="s">
        <v>46</v>
      </c>
      <c r="M486" s="1" t="s">
        <v>2310</v>
      </c>
      <c r="N486" s="1" t="s">
        <v>139</v>
      </c>
      <c r="O486" s="9">
        <v>80</v>
      </c>
      <c r="P486" s="1">
        <f>ROUNDUP(133.1*(1-$F$3),2)</f>
        <v>133.1</v>
      </c>
      <c r="Q486" s="1" t="s">
        <v>49</v>
      </c>
      <c r="R486" s="1" t="s">
        <v>2968</v>
      </c>
      <c r="S486" s="1" t="s">
        <v>2969</v>
      </c>
      <c r="T486" s="9">
        <v>10</v>
      </c>
      <c r="U486" s="1">
        <f>ROUNDUP(121*(1-$F$3),2)</f>
        <v>121</v>
      </c>
      <c r="V486" s="1">
        <v>43</v>
      </c>
      <c r="W486" s="1" t="s">
        <v>2970</v>
      </c>
      <c r="X486" s="1" t="s">
        <v>2971</v>
      </c>
      <c r="Y486" s="1" t="s">
        <v>2972</v>
      </c>
      <c r="Z486" s="1" t="s">
        <v>53</v>
      </c>
      <c r="AA486" s="12">
        <v>42184</v>
      </c>
      <c r="AB486" s="1" t="s">
        <v>219</v>
      </c>
      <c r="AC486" s="1" t="s">
        <v>220</v>
      </c>
      <c r="AD486" s="1" t="s">
        <v>221</v>
      </c>
      <c r="AE486" s="1" t="s">
        <v>878</v>
      </c>
      <c r="AG486" s="1">
        <v>6808230</v>
      </c>
    </row>
    <row r="487" spans="3:33" s="1" customFormat="1" x14ac:dyDescent="0.25">
      <c r="C487" s="1" t="s">
        <v>2973</v>
      </c>
      <c r="D487" s="1" t="s">
        <v>2974</v>
      </c>
      <c r="E487" s="1" t="s">
        <v>2975</v>
      </c>
      <c r="F487" s="13" t="s">
        <v>6952</v>
      </c>
      <c r="G487" s="1" t="s">
        <v>2976</v>
      </c>
      <c r="H487" s="1" t="s">
        <v>160</v>
      </c>
      <c r="I487" s="1">
        <v>554</v>
      </c>
      <c r="J487" s="1" t="s">
        <v>46</v>
      </c>
      <c r="M487" s="1" t="s">
        <v>1061</v>
      </c>
      <c r="N487" s="1" t="s">
        <v>48</v>
      </c>
      <c r="O487" s="9">
        <v>8</v>
      </c>
      <c r="P487" s="1">
        <f>ROUNDUP(1160*(1-$F$3),2)</f>
        <v>1160</v>
      </c>
      <c r="Q487" s="1" t="s">
        <v>49</v>
      </c>
      <c r="R487" s="1" t="s">
        <v>2977</v>
      </c>
      <c r="S487" s="1" t="s">
        <v>2978</v>
      </c>
      <c r="T487" s="9">
        <v>10</v>
      </c>
      <c r="U487" s="1">
        <f>ROUNDUP(1054.55*(1-$F$3),2)</f>
        <v>1054.55</v>
      </c>
      <c r="V487" s="1">
        <v>582</v>
      </c>
      <c r="Y487" s="1" t="s">
        <v>2979</v>
      </c>
      <c r="Z487" s="1" t="s">
        <v>53</v>
      </c>
      <c r="AA487" s="12">
        <v>43237</v>
      </c>
      <c r="AB487" s="1" t="s">
        <v>66</v>
      </c>
      <c r="AC487" s="1" t="s">
        <v>67</v>
      </c>
      <c r="AD487" s="1" t="s">
        <v>68</v>
      </c>
      <c r="AE487" s="1" t="s">
        <v>69</v>
      </c>
      <c r="AG487" s="1">
        <v>8651700</v>
      </c>
    </row>
    <row r="488" spans="3:33" s="1" customFormat="1" x14ac:dyDescent="0.25">
      <c r="C488" s="1" t="s">
        <v>2980</v>
      </c>
      <c r="D488" s="1" t="s">
        <v>2974</v>
      </c>
      <c r="E488" s="1" t="s">
        <v>2981</v>
      </c>
      <c r="F488" s="13" t="s">
        <v>6952</v>
      </c>
      <c r="G488" s="1" t="s">
        <v>2982</v>
      </c>
      <c r="H488" s="1" t="s">
        <v>160</v>
      </c>
      <c r="I488" s="1">
        <v>542</v>
      </c>
      <c r="J488" s="1" t="s">
        <v>46</v>
      </c>
      <c r="M488" s="1" t="s">
        <v>2310</v>
      </c>
      <c r="N488" s="1" t="s">
        <v>48</v>
      </c>
      <c r="O488" s="9">
        <v>8</v>
      </c>
      <c r="P488" s="1">
        <f>ROUNDUP(1250*(1-$F$3),2)</f>
        <v>1250</v>
      </c>
      <c r="Q488" s="1" t="s">
        <v>49</v>
      </c>
      <c r="R488" s="1" t="s">
        <v>2983</v>
      </c>
      <c r="S488" s="1" t="s">
        <v>2984</v>
      </c>
      <c r="T488" s="9">
        <v>10</v>
      </c>
      <c r="U488" s="1">
        <f>ROUNDUP(1136.36*(1-$F$3),2)</f>
        <v>1136.3599999999999</v>
      </c>
      <c r="V488" s="1">
        <v>558</v>
      </c>
      <c r="Y488" s="1" t="s">
        <v>2985</v>
      </c>
      <c r="Z488" s="1" t="s">
        <v>53</v>
      </c>
      <c r="AA488" s="12">
        <v>43377</v>
      </c>
      <c r="AB488" s="1" t="s">
        <v>66</v>
      </c>
      <c r="AC488" s="1" t="s">
        <v>77</v>
      </c>
      <c r="AD488" s="1" t="s">
        <v>78</v>
      </c>
      <c r="AE488" s="1" t="s">
        <v>69</v>
      </c>
      <c r="AG488" s="1">
        <v>8793960</v>
      </c>
    </row>
    <row r="489" spans="3:33" s="1" customFormat="1" x14ac:dyDescent="0.25">
      <c r="C489" s="1" t="s">
        <v>2986</v>
      </c>
      <c r="D489" s="1" t="s">
        <v>2974</v>
      </c>
      <c r="E489" s="1" t="s">
        <v>2987</v>
      </c>
      <c r="F489" s="13" t="s">
        <v>6952</v>
      </c>
      <c r="G489" s="1" t="s">
        <v>2988</v>
      </c>
      <c r="H489" s="1" t="s">
        <v>160</v>
      </c>
      <c r="I489" s="1">
        <v>600</v>
      </c>
      <c r="J489" s="1" t="s">
        <v>46</v>
      </c>
      <c r="M489" s="1" t="s">
        <v>1061</v>
      </c>
      <c r="N489" s="1" t="s">
        <v>48</v>
      </c>
      <c r="O489" s="9">
        <v>8</v>
      </c>
      <c r="P489" s="1">
        <f>ROUNDUP(1350*(1-$F$3),2)</f>
        <v>1350</v>
      </c>
      <c r="Q489" s="1" t="s">
        <v>49</v>
      </c>
      <c r="R489" s="1" t="s">
        <v>2989</v>
      </c>
      <c r="S489" s="1" t="s">
        <v>2990</v>
      </c>
      <c r="T489" s="9">
        <v>10</v>
      </c>
      <c r="U489" s="1">
        <f>ROUNDUP(1227.27*(1-$F$3),2)</f>
        <v>1227.27</v>
      </c>
      <c r="V489" s="1">
        <v>623</v>
      </c>
      <c r="Y489" s="1" t="s">
        <v>2991</v>
      </c>
      <c r="Z489" s="1" t="s">
        <v>53</v>
      </c>
      <c r="AA489" s="12">
        <v>43283</v>
      </c>
      <c r="AB489" s="1" t="s">
        <v>66</v>
      </c>
      <c r="AC489" s="1" t="s">
        <v>77</v>
      </c>
      <c r="AD489" s="1" t="s">
        <v>78</v>
      </c>
      <c r="AE489" s="1" t="s">
        <v>69</v>
      </c>
      <c r="AG489" s="1">
        <v>8700320</v>
      </c>
    </row>
    <row r="490" spans="3:33" s="1" customFormat="1" x14ac:dyDescent="0.25">
      <c r="C490" s="1" t="s">
        <v>2992</v>
      </c>
      <c r="D490" s="1" t="s">
        <v>2974</v>
      </c>
      <c r="E490" s="1" t="s">
        <v>2993</v>
      </c>
      <c r="F490" s="13" t="s">
        <v>6952</v>
      </c>
      <c r="G490" s="1" t="s">
        <v>2994</v>
      </c>
      <c r="H490" s="1" t="s">
        <v>160</v>
      </c>
      <c r="I490" s="1">
        <v>556</v>
      </c>
      <c r="J490" s="1" t="s">
        <v>46</v>
      </c>
      <c r="M490" s="1" t="s">
        <v>1061</v>
      </c>
      <c r="N490" s="1" t="s">
        <v>48</v>
      </c>
      <c r="O490" s="9">
        <v>8</v>
      </c>
      <c r="P490" s="1">
        <f>ROUNDUP(1180*(1-$F$3),2)</f>
        <v>1180</v>
      </c>
      <c r="Q490" s="1" t="s">
        <v>49</v>
      </c>
      <c r="R490" s="1" t="s">
        <v>2995</v>
      </c>
      <c r="S490" s="1" t="s">
        <v>2996</v>
      </c>
      <c r="T490" s="9">
        <v>10</v>
      </c>
      <c r="U490" s="1">
        <f>ROUNDUP(1072.73*(1-$F$3),2)</f>
        <v>1072.73</v>
      </c>
      <c r="V490" s="1">
        <v>578</v>
      </c>
      <c r="Y490" s="1" t="s">
        <v>2997</v>
      </c>
      <c r="Z490" s="1" t="s">
        <v>128</v>
      </c>
      <c r="AA490" s="12">
        <v>43517</v>
      </c>
      <c r="AB490" s="1" t="s">
        <v>66</v>
      </c>
      <c r="AC490" s="1" t="s">
        <v>67</v>
      </c>
      <c r="AD490" s="1" t="s">
        <v>68</v>
      </c>
      <c r="AE490" s="1" t="s">
        <v>69</v>
      </c>
      <c r="AG490" s="1">
        <v>8939090</v>
      </c>
    </row>
    <row r="491" spans="3:33" s="1" customFormat="1" x14ac:dyDescent="0.25">
      <c r="C491" s="1" t="s">
        <v>2998</v>
      </c>
      <c r="D491" s="1" t="s">
        <v>2974</v>
      </c>
      <c r="E491" s="1" t="s">
        <v>2999</v>
      </c>
      <c r="F491" s="13" t="s">
        <v>6952</v>
      </c>
      <c r="G491" s="1" t="s">
        <v>3000</v>
      </c>
      <c r="H491" s="1" t="s">
        <v>160</v>
      </c>
      <c r="I491" s="1">
        <v>450</v>
      </c>
      <c r="J491" s="1" t="s">
        <v>46</v>
      </c>
      <c r="M491" s="1" t="s">
        <v>1061</v>
      </c>
      <c r="N491" s="1" t="s">
        <v>48</v>
      </c>
      <c r="O491" s="9">
        <v>10</v>
      </c>
      <c r="P491" s="1">
        <f>ROUNDUP(1320*(1-$F$3),2)</f>
        <v>1320</v>
      </c>
      <c r="Q491" s="1" t="s">
        <v>49</v>
      </c>
      <c r="R491" s="1" t="s">
        <v>3001</v>
      </c>
      <c r="S491" s="1" t="s">
        <v>3002</v>
      </c>
      <c r="T491" s="9">
        <v>10</v>
      </c>
      <c r="U491" s="1">
        <f>ROUNDUP(1200*(1-$F$3),2)</f>
        <v>1200</v>
      </c>
      <c r="V491" s="1">
        <v>499</v>
      </c>
      <c r="Y491" s="1" t="s">
        <v>3003</v>
      </c>
      <c r="Z491" s="1" t="s">
        <v>53</v>
      </c>
      <c r="AA491" s="12">
        <v>43458</v>
      </c>
      <c r="AB491" s="1" t="s">
        <v>66</v>
      </c>
      <c r="AC491" s="1" t="s">
        <v>67</v>
      </c>
      <c r="AD491" s="1" t="s">
        <v>68</v>
      </c>
      <c r="AE491" s="1" t="s">
        <v>69</v>
      </c>
      <c r="AG491" s="1">
        <v>8872230</v>
      </c>
    </row>
    <row r="492" spans="3:33" s="1" customFormat="1" x14ac:dyDescent="0.25">
      <c r="C492" s="1" t="s">
        <v>3004</v>
      </c>
      <c r="D492" s="1" t="s">
        <v>3005</v>
      </c>
      <c r="E492" s="1" t="s">
        <v>3006</v>
      </c>
      <c r="F492" s="13" t="s">
        <v>6952</v>
      </c>
      <c r="G492" s="1" t="s">
        <v>1771</v>
      </c>
      <c r="H492" s="1" t="s">
        <v>3007</v>
      </c>
      <c r="I492" s="1">
        <v>1200</v>
      </c>
      <c r="J492" s="1" t="s">
        <v>46</v>
      </c>
      <c r="M492" s="1" t="s">
        <v>987</v>
      </c>
      <c r="N492" s="1" t="s">
        <v>48</v>
      </c>
      <c r="O492" s="9">
        <v>4</v>
      </c>
      <c r="P492" s="1">
        <f>ROUNDUP(25260*(1-$F$3),2)</f>
        <v>25260</v>
      </c>
      <c r="Q492" s="1" t="s">
        <v>49</v>
      </c>
      <c r="R492" s="1" t="s">
        <v>3008</v>
      </c>
      <c r="S492" s="1" t="s">
        <v>3009</v>
      </c>
      <c r="T492" s="9">
        <v>10</v>
      </c>
      <c r="U492" s="1">
        <f>ROUNDUP(22963.64*(1-$F$3),2)</f>
        <v>22963.64</v>
      </c>
      <c r="V492" s="1">
        <v>2157</v>
      </c>
      <c r="Y492" s="1" t="s">
        <v>3010</v>
      </c>
      <c r="AA492" s="12">
        <v>43075</v>
      </c>
      <c r="AB492" s="1" t="s">
        <v>334</v>
      </c>
      <c r="AC492" s="1" t="s">
        <v>892</v>
      </c>
      <c r="AD492" s="1" t="s">
        <v>1781</v>
      </c>
      <c r="AE492" s="1" t="s">
        <v>69</v>
      </c>
      <c r="AG492" s="1">
        <v>8435040</v>
      </c>
    </row>
    <row r="493" spans="3:33" s="1" customFormat="1" x14ac:dyDescent="0.25">
      <c r="C493" s="1" t="s">
        <v>3011</v>
      </c>
      <c r="D493" s="1" t="s">
        <v>3005</v>
      </c>
      <c r="E493" s="1" t="s">
        <v>3012</v>
      </c>
      <c r="F493" s="13" t="s">
        <v>6952</v>
      </c>
      <c r="H493" s="1" t="s">
        <v>1240</v>
      </c>
      <c r="I493" s="1">
        <v>1920</v>
      </c>
      <c r="J493" s="1" t="s">
        <v>46</v>
      </c>
      <c r="M493" s="1" t="s">
        <v>987</v>
      </c>
      <c r="N493" s="1" t="s">
        <v>48</v>
      </c>
      <c r="O493" s="9">
        <v>4</v>
      </c>
      <c r="P493" s="1">
        <f>ROUNDUP(35970*(1-$F$3),2)</f>
        <v>35970</v>
      </c>
      <c r="Q493" s="1" t="s">
        <v>49</v>
      </c>
      <c r="R493" s="1" t="s">
        <v>3013</v>
      </c>
      <c r="S493" s="1" t="s">
        <v>3014</v>
      </c>
      <c r="T493" s="9">
        <v>10</v>
      </c>
      <c r="U493" s="1">
        <f>ROUNDUP(32700*(1-$F$3),2)</f>
        <v>32700</v>
      </c>
      <c r="V493" s="1">
        <v>2208</v>
      </c>
      <c r="Y493" s="1" t="s">
        <v>3015</v>
      </c>
      <c r="Z493" s="1" t="s">
        <v>53</v>
      </c>
      <c r="AA493" s="12"/>
      <c r="AB493" s="1" t="s">
        <v>86</v>
      </c>
      <c r="AC493" s="1" t="s">
        <v>1570</v>
      </c>
      <c r="AD493" s="1" t="s">
        <v>3016</v>
      </c>
      <c r="AE493" s="1" t="s">
        <v>69</v>
      </c>
      <c r="AG493" s="1">
        <v>10735240</v>
      </c>
    </row>
    <row r="494" spans="3:33" s="1" customFormat="1" x14ac:dyDescent="0.25">
      <c r="C494" s="1" t="s">
        <v>3017</v>
      </c>
      <c r="D494" s="1" t="s">
        <v>3018</v>
      </c>
      <c r="E494" s="1" t="s">
        <v>2727</v>
      </c>
      <c r="F494" s="13" t="s">
        <v>6952</v>
      </c>
      <c r="G494" s="1" t="s">
        <v>2728</v>
      </c>
      <c r="H494" s="1" t="s">
        <v>524</v>
      </c>
      <c r="I494" s="1">
        <v>271</v>
      </c>
      <c r="J494" s="1" t="s">
        <v>46</v>
      </c>
      <c r="M494" s="1" t="s">
        <v>1061</v>
      </c>
      <c r="N494" s="1" t="s">
        <v>48</v>
      </c>
      <c r="O494" s="9">
        <v>10</v>
      </c>
      <c r="P494" s="1">
        <f>ROUNDUP(1120*(1-$F$3),2)</f>
        <v>1120</v>
      </c>
      <c r="Q494" s="1" t="s">
        <v>49</v>
      </c>
      <c r="R494" s="1" t="s">
        <v>3019</v>
      </c>
      <c r="S494" s="1" t="s">
        <v>3020</v>
      </c>
      <c r="T494" s="9">
        <v>10</v>
      </c>
      <c r="U494" s="1">
        <f>ROUNDUP(1018.18*(1-$F$3),2)</f>
        <v>1018.18</v>
      </c>
      <c r="V494" s="1">
        <v>444</v>
      </c>
      <c r="Y494" s="1" t="s">
        <v>2731</v>
      </c>
      <c r="Z494" s="1" t="s">
        <v>711</v>
      </c>
      <c r="AA494" s="12">
        <v>43852</v>
      </c>
      <c r="AB494" s="1" t="s">
        <v>573</v>
      </c>
      <c r="AC494" s="1" t="s">
        <v>66</v>
      </c>
      <c r="AD494" s="1" t="s">
        <v>2756</v>
      </c>
      <c r="AE494" s="1" t="s">
        <v>69</v>
      </c>
      <c r="AG494" s="1">
        <v>9184340</v>
      </c>
    </row>
    <row r="495" spans="3:33" s="1" customFormat="1" x14ac:dyDescent="0.25">
      <c r="C495" s="1" t="s">
        <v>3021</v>
      </c>
      <c r="D495" s="1" t="s">
        <v>3022</v>
      </c>
      <c r="E495" s="1" t="s">
        <v>3023</v>
      </c>
      <c r="F495" s="13" t="s">
        <v>6952</v>
      </c>
      <c r="G495" s="1" t="s">
        <v>3024</v>
      </c>
      <c r="H495" s="1" t="s">
        <v>1240</v>
      </c>
      <c r="I495" s="1">
        <v>384</v>
      </c>
      <c r="J495" s="1" t="s">
        <v>46</v>
      </c>
      <c r="K495" s="1" t="s">
        <v>1566</v>
      </c>
      <c r="M495" s="1" t="s">
        <v>835</v>
      </c>
      <c r="N495" s="1" t="s">
        <v>139</v>
      </c>
      <c r="O495" s="9">
        <v>10</v>
      </c>
      <c r="P495" s="1">
        <f>ROUNDUP(1015.5*(1-$F$3),2)</f>
        <v>1015.5</v>
      </c>
      <c r="Q495" s="1" t="s">
        <v>49</v>
      </c>
      <c r="R495" s="1" t="s">
        <v>3025</v>
      </c>
      <c r="S495" s="1" t="s">
        <v>3026</v>
      </c>
      <c r="T495" s="9">
        <v>10</v>
      </c>
      <c r="U495" s="1">
        <f>ROUNDUP(923.18*(1-$F$3),2)</f>
        <v>923.18</v>
      </c>
      <c r="V495" s="1">
        <v>288</v>
      </c>
      <c r="Y495" s="1" t="s">
        <v>3027</v>
      </c>
      <c r="Z495" s="1" t="s">
        <v>128</v>
      </c>
      <c r="AA495" s="12">
        <v>43348</v>
      </c>
      <c r="AB495" s="1" t="s">
        <v>445</v>
      </c>
      <c r="AC495" s="1" t="s">
        <v>737</v>
      </c>
      <c r="AD495" s="1" t="s">
        <v>2417</v>
      </c>
      <c r="AE495" s="1" t="s">
        <v>69</v>
      </c>
      <c r="AG495" s="1">
        <v>8738950</v>
      </c>
    </row>
    <row r="496" spans="3:33" s="1" customFormat="1" x14ac:dyDescent="0.25">
      <c r="C496" s="1" t="s">
        <v>3028</v>
      </c>
      <c r="D496" s="1" t="s">
        <v>3029</v>
      </c>
      <c r="E496" s="1" t="s">
        <v>3030</v>
      </c>
      <c r="F496" s="13" t="s">
        <v>6952</v>
      </c>
      <c r="G496" s="1" t="s">
        <v>3031</v>
      </c>
      <c r="H496" s="1" t="s">
        <v>45</v>
      </c>
      <c r="I496" s="1">
        <v>56</v>
      </c>
      <c r="J496" s="1" t="s">
        <v>46</v>
      </c>
      <c r="M496" s="1" t="s">
        <v>169</v>
      </c>
      <c r="N496" s="1" t="s">
        <v>48</v>
      </c>
      <c r="O496" s="9">
        <v>16</v>
      </c>
      <c r="P496" s="1">
        <f>ROUNDUP(790*(1-$F$3),2)</f>
        <v>790</v>
      </c>
      <c r="Q496" s="1" t="s">
        <v>49</v>
      </c>
      <c r="R496" s="1" t="s">
        <v>3032</v>
      </c>
      <c r="S496" s="1" t="s">
        <v>3033</v>
      </c>
      <c r="T496" s="9">
        <v>10</v>
      </c>
      <c r="U496" s="1">
        <f>ROUNDUP(718.18*(1-$F$3),2)</f>
        <v>718.18</v>
      </c>
      <c r="V496" s="1">
        <v>361</v>
      </c>
      <c r="Y496" s="1" t="s">
        <v>3034</v>
      </c>
      <c r="Z496" s="1" t="s">
        <v>1757</v>
      </c>
      <c r="AA496" s="12">
        <v>44573</v>
      </c>
      <c r="AB496" s="1" t="s">
        <v>573</v>
      </c>
      <c r="AC496" s="1" t="s">
        <v>3035</v>
      </c>
      <c r="AD496" s="1" t="s">
        <v>3036</v>
      </c>
      <c r="AE496" s="1" t="s">
        <v>57</v>
      </c>
      <c r="AG496" s="1">
        <v>10043470</v>
      </c>
    </row>
    <row r="497" spans="1:33" s="11" customFormat="1" x14ac:dyDescent="0.25">
      <c r="A497" s="11" t="s">
        <v>6953</v>
      </c>
      <c r="C497" s="11" t="s">
        <v>3037</v>
      </c>
      <c r="D497" s="11" t="s">
        <v>3038</v>
      </c>
      <c r="E497" s="11" t="s">
        <v>3039</v>
      </c>
      <c r="F497" s="14" t="s">
        <v>6952</v>
      </c>
      <c r="G497" s="11" t="s">
        <v>3040</v>
      </c>
      <c r="H497" s="11" t="s">
        <v>61</v>
      </c>
      <c r="I497" s="11">
        <v>304</v>
      </c>
      <c r="J497" s="11" t="s">
        <v>46</v>
      </c>
      <c r="M497" s="11" t="s">
        <v>62</v>
      </c>
      <c r="N497" s="11" t="s">
        <v>48</v>
      </c>
      <c r="O497" s="23">
        <v>12</v>
      </c>
      <c r="P497" s="11">
        <f>ROUNDUP(980*(1-$F$3),2)</f>
        <v>980</v>
      </c>
      <c r="Q497" s="11" t="s">
        <v>49</v>
      </c>
      <c r="R497" s="11" t="s">
        <v>3041</v>
      </c>
      <c r="S497" s="11" t="s">
        <v>3042</v>
      </c>
      <c r="T497" s="23">
        <v>10</v>
      </c>
      <c r="U497" s="11">
        <f>ROUNDUP(890.91*(1-$F$3),2)</f>
        <v>890.91</v>
      </c>
      <c r="V497" s="11">
        <v>388</v>
      </c>
      <c r="Y497" s="11" t="s">
        <v>3043</v>
      </c>
      <c r="Z497" s="11" t="s">
        <v>53</v>
      </c>
      <c r="AA497" s="15">
        <v>46131</v>
      </c>
      <c r="AB497" s="11" t="s">
        <v>66</v>
      </c>
      <c r="AC497" s="11" t="s">
        <v>120</v>
      </c>
      <c r="AD497" s="11" t="s">
        <v>598</v>
      </c>
      <c r="AE497" s="11" t="s">
        <v>69</v>
      </c>
      <c r="AG497" s="11">
        <v>12071120</v>
      </c>
    </row>
    <row r="498" spans="1:33" s="11" customFormat="1" x14ac:dyDescent="0.25">
      <c r="A498" s="11" t="s">
        <v>6953</v>
      </c>
      <c r="C498" s="11" t="s">
        <v>3044</v>
      </c>
      <c r="D498" s="11" t="s">
        <v>3038</v>
      </c>
      <c r="E498" s="11" t="s">
        <v>3045</v>
      </c>
      <c r="F498" s="14" t="s">
        <v>6952</v>
      </c>
      <c r="G498" s="11" t="s">
        <v>3046</v>
      </c>
      <c r="H498" s="11" t="s">
        <v>61</v>
      </c>
      <c r="I498" s="11">
        <v>352</v>
      </c>
      <c r="J498" s="11" t="s">
        <v>46</v>
      </c>
      <c r="M498" s="11" t="s">
        <v>62</v>
      </c>
      <c r="N498" s="11" t="s">
        <v>48</v>
      </c>
      <c r="O498" s="23">
        <v>10</v>
      </c>
      <c r="P498" s="11">
        <f>ROUNDUP(980*(1-$F$3),2)</f>
        <v>980</v>
      </c>
      <c r="Q498" s="11" t="s">
        <v>49</v>
      </c>
      <c r="R498" s="11" t="s">
        <v>3047</v>
      </c>
      <c r="S498" s="11" t="s">
        <v>3048</v>
      </c>
      <c r="T498" s="23">
        <v>10</v>
      </c>
      <c r="U498" s="11">
        <f>ROUNDUP(890.91*(1-$F$3),2)</f>
        <v>890.91</v>
      </c>
      <c r="V498" s="11">
        <v>446</v>
      </c>
      <c r="Y498" s="11" t="s">
        <v>3049</v>
      </c>
      <c r="Z498" s="11" t="s">
        <v>53</v>
      </c>
      <c r="AA498" s="15">
        <v>46105</v>
      </c>
      <c r="AB498" s="11" t="s">
        <v>66</v>
      </c>
      <c r="AC498" s="11" t="s">
        <v>67</v>
      </c>
      <c r="AD498" s="11" t="s">
        <v>180</v>
      </c>
      <c r="AE498" s="11" t="s">
        <v>69</v>
      </c>
      <c r="AG498" s="11">
        <v>12068360</v>
      </c>
    </row>
    <row r="499" spans="1:33" s="1" customFormat="1" x14ac:dyDescent="0.25">
      <c r="C499" s="1" t="s">
        <v>3050</v>
      </c>
      <c r="D499" s="1" t="s">
        <v>3051</v>
      </c>
      <c r="E499" s="1" t="s">
        <v>3052</v>
      </c>
      <c r="F499" s="13" t="s">
        <v>6952</v>
      </c>
      <c r="G499" s="1" t="s">
        <v>785</v>
      </c>
      <c r="H499" s="1" t="s">
        <v>61</v>
      </c>
      <c r="I499" s="1">
        <v>479</v>
      </c>
      <c r="J499" s="1" t="s">
        <v>46</v>
      </c>
      <c r="K499" s="1" t="s">
        <v>1566</v>
      </c>
      <c r="M499" s="1" t="s">
        <v>1061</v>
      </c>
      <c r="N499" s="1" t="s">
        <v>48</v>
      </c>
      <c r="O499" s="9">
        <v>10</v>
      </c>
      <c r="P499" s="1">
        <f>ROUNDUP(1200*(1-$F$3),2)</f>
        <v>1200</v>
      </c>
      <c r="Q499" s="1" t="s">
        <v>49</v>
      </c>
      <c r="R499" s="1" t="s">
        <v>3053</v>
      </c>
      <c r="S499" s="1" t="s">
        <v>3054</v>
      </c>
      <c r="T499" s="9">
        <v>10</v>
      </c>
      <c r="U499" s="1">
        <f>ROUNDUP(1090.91*(1-$F$3),2)</f>
        <v>1090.9100000000001</v>
      </c>
      <c r="V499" s="1">
        <v>582</v>
      </c>
      <c r="Y499" s="1" t="s">
        <v>3055</v>
      </c>
      <c r="Z499" s="1" t="s">
        <v>76</v>
      </c>
      <c r="AA499" s="12">
        <v>43502</v>
      </c>
      <c r="AB499" s="1" t="s">
        <v>66</v>
      </c>
      <c r="AC499" s="1" t="s">
        <v>120</v>
      </c>
      <c r="AD499" s="1" t="s">
        <v>121</v>
      </c>
      <c r="AE499" s="1" t="s">
        <v>69</v>
      </c>
      <c r="AG499" s="1">
        <v>8926020</v>
      </c>
    </row>
    <row r="500" spans="1:33" s="1" customFormat="1" x14ac:dyDescent="0.25">
      <c r="C500" s="1" t="s">
        <v>3056</v>
      </c>
      <c r="D500" s="1" t="s">
        <v>3057</v>
      </c>
      <c r="E500" s="1" t="s">
        <v>3058</v>
      </c>
      <c r="F500" s="13" t="s">
        <v>6952</v>
      </c>
      <c r="G500" s="1" t="s">
        <v>3059</v>
      </c>
      <c r="H500" s="1" t="s">
        <v>61</v>
      </c>
      <c r="I500" s="1">
        <v>623</v>
      </c>
      <c r="J500" s="1" t="s">
        <v>46</v>
      </c>
      <c r="K500" s="1" t="s">
        <v>1566</v>
      </c>
      <c r="M500" s="1" t="s">
        <v>1061</v>
      </c>
      <c r="N500" s="1" t="s">
        <v>48</v>
      </c>
      <c r="O500" s="9">
        <v>8</v>
      </c>
      <c r="P500" s="1">
        <f>ROUNDUP(1530*(1-$F$3),2)</f>
        <v>1530</v>
      </c>
      <c r="Q500" s="1" t="s">
        <v>49</v>
      </c>
      <c r="R500" s="1" t="s">
        <v>3060</v>
      </c>
      <c r="S500" s="1" t="s">
        <v>3061</v>
      </c>
      <c r="T500" s="9">
        <v>22</v>
      </c>
      <c r="U500" s="1">
        <f>ROUNDUP(1254.1*(1-$F$3),2)</f>
        <v>1254.0999999999999</v>
      </c>
      <c r="V500" s="1">
        <v>767</v>
      </c>
      <c r="Y500" s="1" t="s">
        <v>3062</v>
      </c>
      <c r="Z500" s="1" t="s">
        <v>76</v>
      </c>
      <c r="AA500" s="12">
        <v>43437</v>
      </c>
      <c r="AB500" s="1" t="s">
        <v>66</v>
      </c>
      <c r="AC500" s="1" t="s">
        <v>143</v>
      </c>
      <c r="AD500" s="1" t="s">
        <v>144</v>
      </c>
      <c r="AE500" s="1" t="s">
        <v>69</v>
      </c>
      <c r="AG500" s="1">
        <v>8859270</v>
      </c>
    </row>
    <row r="501" spans="1:33" s="1" customFormat="1" x14ac:dyDescent="0.25">
      <c r="C501" s="1" t="s">
        <v>3063</v>
      </c>
      <c r="D501" s="1" t="s">
        <v>3057</v>
      </c>
      <c r="E501" s="1" t="s">
        <v>3064</v>
      </c>
      <c r="F501" s="13" t="s">
        <v>6952</v>
      </c>
      <c r="G501" s="1" t="s">
        <v>3059</v>
      </c>
      <c r="H501" s="1" t="s">
        <v>61</v>
      </c>
      <c r="I501" s="1">
        <v>319</v>
      </c>
      <c r="J501" s="1" t="s">
        <v>46</v>
      </c>
      <c r="K501" s="1" t="s">
        <v>1566</v>
      </c>
      <c r="M501" s="1" t="s">
        <v>1061</v>
      </c>
      <c r="N501" s="1" t="s">
        <v>48</v>
      </c>
      <c r="O501" s="9">
        <v>10</v>
      </c>
      <c r="P501" s="1">
        <f>ROUNDUP(1320*(1-$F$3),2)</f>
        <v>1320</v>
      </c>
      <c r="Q501" s="1" t="s">
        <v>49</v>
      </c>
      <c r="R501" s="1" t="s">
        <v>3065</v>
      </c>
      <c r="S501" s="1" t="s">
        <v>3066</v>
      </c>
      <c r="T501" s="9">
        <v>10</v>
      </c>
      <c r="U501" s="1">
        <f>ROUNDUP(1200*(1-$F$3),2)</f>
        <v>1200</v>
      </c>
      <c r="V501" s="1">
        <v>451</v>
      </c>
      <c r="Y501" s="1" t="s">
        <v>3067</v>
      </c>
      <c r="Z501" s="1" t="s">
        <v>76</v>
      </c>
      <c r="AA501" s="12">
        <v>43437</v>
      </c>
      <c r="AB501" s="1" t="s">
        <v>66</v>
      </c>
      <c r="AC501" s="1" t="s">
        <v>120</v>
      </c>
      <c r="AD501" s="1" t="s">
        <v>121</v>
      </c>
      <c r="AE501" s="1" t="s">
        <v>69</v>
      </c>
      <c r="AG501" s="1">
        <v>8859280</v>
      </c>
    </row>
    <row r="502" spans="1:33" s="1" customFormat="1" x14ac:dyDescent="0.25">
      <c r="C502" s="1" t="s">
        <v>3068</v>
      </c>
      <c r="D502" s="1" t="s">
        <v>3057</v>
      </c>
      <c r="E502" s="1" t="s">
        <v>3069</v>
      </c>
      <c r="F502" s="13" t="s">
        <v>6952</v>
      </c>
      <c r="G502" s="1" t="s">
        <v>1771</v>
      </c>
      <c r="H502" s="1" t="s">
        <v>61</v>
      </c>
      <c r="I502" s="1">
        <v>880</v>
      </c>
      <c r="J502" s="1" t="s">
        <v>46</v>
      </c>
      <c r="M502" s="1" t="s">
        <v>1061</v>
      </c>
      <c r="N502" s="1" t="s">
        <v>48</v>
      </c>
      <c r="O502" s="9">
        <v>6</v>
      </c>
      <c r="P502" s="1">
        <f>ROUNDUP(3020*(1-$F$3),2)</f>
        <v>3020</v>
      </c>
      <c r="Q502" s="1" t="s">
        <v>49</v>
      </c>
      <c r="R502" s="1" t="s">
        <v>3070</v>
      </c>
      <c r="S502" s="1" t="s">
        <v>3071</v>
      </c>
      <c r="T502" s="9">
        <v>10</v>
      </c>
      <c r="U502" s="1">
        <f>ROUNDUP(2745.45*(1-$F$3),2)</f>
        <v>2745.45</v>
      </c>
      <c r="V502" s="1">
        <v>1016.9999999999999</v>
      </c>
      <c r="Y502" s="1" t="s">
        <v>3072</v>
      </c>
      <c r="Z502" s="1" t="s">
        <v>53</v>
      </c>
      <c r="AA502" s="12">
        <v>42429</v>
      </c>
      <c r="AB502" s="1" t="s">
        <v>234</v>
      </c>
      <c r="AC502" s="1" t="s">
        <v>235</v>
      </c>
      <c r="AD502" s="1" t="s">
        <v>1264</v>
      </c>
      <c r="AE502" s="1" t="s">
        <v>69</v>
      </c>
      <c r="AG502" s="1">
        <v>7452810</v>
      </c>
    </row>
    <row r="503" spans="1:33" s="1" customFormat="1" x14ac:dyDescent="0.25">
      <c r="C503" s="1" t="s">
        <v>3073</v>
      </c>
      <c r="D503" s="1" t="s">
        <v>3074</v>
      </c>
      <c r="E503" s="1" t="s">
        <v>3075</v>
      </c>
      <c r="F503" s="13" t="s">
        <v>6952</v>
      </c>
      <c r="G503" s="1" t="s">
        <v>197</v>
      </c>
      <c r="H503" s="1" t="s">
        <v>160</v>
      </c>
      <c r="I503" s="1">
        <v>256</v>
      </c>
      <c r="J503" s="1" t="s">
        <v>46</v>
      </c>
      <c r="M503" s="1" t="s">
        <v>47</v>
      </c>
      <c r="N503" s="1" t="s">
        <v>48</v>
      </c>
      <c r="O503" s="9">
        <v>5</v>
      </c>
      <c r="P503" s="1">
        <f>ROUNDUP(1000*(1-$F$3),2)</f>
        <v>1000</v>
      </c>
      <c r="Q503" s="1" t="s">
        <v>49</v>
      </c>
      <c r="R503" s="1" t="s">
        <v>3076</v>
      </c>
      <c r="S503" s="1" t="s">
        <v>3077</v>
      </c>
      <c r="T503" s="9">
        <v>10</v>
      </c>
      <c r="U503" s="1">
        <f>ROUNDUP(909.09*(1-$F$3),2)</f>
        <v>909.09</v>
      </c>
      <c r="V503" s="1">
        <v>313</v>
      </c>
      <c r="Y503" s="1" t="s">
        <v>3078</v>
      </c>
      <c r="Z503" s="1" t="s">
        <v>53</v>
      </c>
      <c r="AA503" s="12">
        <v>44347</v>
      </c>
      <c r="AB503" s="1" t="s">
        <v>66</v>
      </c>
      <c r="AC503" s="1" t="s">
        <v>491</v>
      </c>
      <c r="AD503" s="1" t="s">
        <v>1509</v>
      </c>
      <c r="AE503" s="1" t="s">
        <v>69</v>
      </c>
      <c r="AG503" s="1">
        <v>9730430</v>
      </c>
    </row>
    <row r="504" spans="1:33" s="1" customFormat="1" x14ac:dyDescent="0.25">
      <c r="C504" s="1" t="s">
        <v>3079</v>
      </c>
      <c r="D504" s="1" t="s">
        <v>3074</v>
      </c>
      <c r="E504" s="1" t="s">
        <v>3080</v>
      </c>
      <c r="F504" s="13" t="s">
        <v>6952</v>
      </c>
      <c r="G504" s="1" t="s">
        <v>197</v>
      </c>
      <c r="H504" s="1" t="s">
        <v>61</v>
      </c>
      <c r="I504" s="1">
        <v>192</v>
      </c>
      <c r="J504" s="1" t="s">
        <v>46</v>
      </c>
      <c r="M504" s="1" t="s">
        <v>161</v>
      </c>
      <c r="N504" s="1" t="s">
        <v>139</v>
      </c>
      <c r="O504" s="9">
        <v>10</v>
      </c>
      <c r="P504" s="1">
        <f>ROUNDUP(1340*(1-$F$3),2)</f>
        <v>1340</v>
      </c>
      <c r="Q504" s="1" t="s">
        <v>49</v>
      </c>
      <c r="R504" s="1" t="s">
        <v>3081</v>
      </c>
      <c r="S504" s="1" t="s">
        <v>3082</v>
      </c>
      <c r="T504" s="9">
        <v>10</v>
      </c>
      <c r="U504" s="1">
        <f>ROUNDUP(1218.18*(1-$F$3),2)</f>
        <v>1218.18</v>
      </c>
      <c r="V504" s="1">
        <v>309</v>
      </c>
      <c r="Y504" s="1" t="s">
        <v>3083</v>
      </c>
      <c r="Z504" s="1" t="s">
        <v>76</v>
      </c>
      <c r="AA504" s="12">
        <v>44918</v>
      </c>
      <c r="AB504" s="1" t="s">
        <v>66</v>
      </c>
      <c r="AC504" s="1" t="s">
        <v>77</v>
      </c>
      <c r="AD504" s="1" t="s">
        <v>78</v>
      </c>
      <c r="AE504" s="1" t="s">
        <v>69</v>
      </c>
      <c r="AG504" s="1">
        <v>10770000</v>
      </c>
    </row>
    <row r="505" spans="1:33" s="1" customFormat="1" x14ac:dyDescent="0.25">
      <c r="C505" s="1" t="s">
        <v>3084</v>
      </c>
      <c r="D505" s="1" t="s">
        <v>3074</v>
      </c>
      <c r="E505" s="1" t="s">
        <v>3085</v>
      </c>
      <c r="F505" s="13" t="s">
        <v>6952</v>
      </c>
      <c r="G505" s="1" t="s">
        <v>197</v>
      </c>
      <c r="H505" s="1" t="s">
        <v>61</v>
      </c>
      <c r="I505" s="1">
        <v>304</v>
      </c>
      <c r="J505" s="1" t="s">
        <v>46</v>
      </c>
      <c r="M505" s="1" t="s">
        <v>62</v>
      </c>
      <c r="N505" s="1" t="s">
        <v>48</v>
      </c>
      <c r="O505" s="9">
        <v>10</v>
      </c>
      <c r="P505" s="1">
        <f>ROUNDUP(1300*(1-$F$3),2)</f>
        <v>1300</v>
      </c>
      <c r="Q505" s="1" t="s">
        <v>49</v>
      </c>
      <c r="R505" s="1" t="s">
        <v>3086</v>
      </c>
      <c r="S505" s="1" t="s">
        <v>3087</v>
      </c>
      <c r="T505" s="9">
        <v>10</v>
      </c>
      <c r="U505" s="1">
        <f>ROUNDUP(1181.82*(1-$F$3),2)</f>
        <v>1181.82</v>
      </c>
      <c r="V505" s="1">
        <v>416</v>
      </c>
      <c r="Y505" s="1" t="s">
        <v>3088</v>
      </c>
      <c r="Z505" s="1" t="s">
        <v>53</v>
      </c>
      <c r="AA505" s="12">
        <v>45001</v>
      </c>
      <c r="AB505" s="1" t="s">
        <v>66</v>
      </c>
      <c r="AC505" s="1" t="s">
        <v>77</v>
      </c>
      <c r="AD505" s="1" t="s">
        <v>78</v>
      </c>
      <c r="AE505" s="1" t="s">
        <v>69</v>
      </c>
      <c r="AG505" s="1">
        <v>10858430</v>
      </c>
    </row>
    <row r="506" spans="1:33" s="1" customFormat="1" x14ac:dyDescent="0.25">
      <c r="C506" s="1" t="s">
        <v>3089</v>
      </c>
      <c r="D506" s="1" t="s">
        <v>3090</v>
      </c>
      <c r="E506" s="1" t="s">
        <v>3091</v>
      </c>
      <c r="F506" s="13" t="s">
        <v>6952</v>
      </c>
      <c r="G506" s="1" t="s">
        <v>3092</v>
      </c>
      <c r="H506" s="1" t="s">
        <v>61</v>
      </c>
      <c r="I506" s="1">
        <v>318</v>
      </c>
      <c r="J506" s="1" t="s">
        <v>46</v>
      </c>
      <c r="K506" s="1" t="s">
        <v>1566</v>
      </c>
      <c r="M506" s="1" t="s">
        <v>835</v>
      </c>
      <c r="N506" s="1" t="s">
        <v>139</v>
      </c>
      <c r="O506" s="9">
        <v>12</v>
      </c>
      <c r="P506" s="1">
        <f>ROUNDUP(1020*(1-$F$3),2)</f>
        <v>1020</v>
      </c>
      <c r="Q506" s="1" t="s">
        <v>49</v>
      </c>
      <c r="R506" s="1" t="s">
        <v>3093</v>
      </c>
      <c r="S506" s="1" t="s">
        <v>3094</v>
      </c>
      <c r="T506" s="9">
        <v>10</v>
      </c>
      <c r="U506" s="1">
        <f>ROUNDUP(927.27*(1-$F$3),2)</f>
        <v>927.27</v>
      </c>
      <c r="V506" s="1">
        <v>398</v>
      </c>
      <c r="Y506" s="1" t="s">
        <v>3090</v>
      </c>
      <c r="Z506" s="1" t="s">
        <v>128</v>
      </c>
      <c r="AA506" s="12">
        <v>43815</v>
      </c>
      <c r="AB506" s="1" t="s">
        <v>95</v>
      </c>
      <c r="AC506" s="1" t="s">
        <v>96</v>
      </c>
      <c r="AD506" s="1" t="s">
        <v>912</v>
      </c>
      <c r="AE506" s="1" t="s">
        <v>69</v>
      </c>
      <c r="AG506" s="1">
        <v>9224260</v>
      </c>
    </row>
    <row r="507" spans="1:33" s="1" customFormat="1" x14ac:dyDescent="0.25">
      <c r="C507" s="1" t="s">
        <v>3095</v>
      </c>
      <c r="D507" s="1" t="s">
        <v>3096</v>
      </c>
      <c r="E507" s="1" t="s">
        <v>3097</v>
      </c>
      <c r="F507" s="13" t="s">
        <v>6952</v>
      </c>
      <c r="G507" s="1" t="s">
        <v>3098</v>
      </c>
      <c r="H507" s="1" t="s">
        <v>1240</v>
      </c>
      <c r="I507" s="1">
        <v>456</v>
      </c>
      <c r="J507" s="1" t="s">
        <v>46</v>
      </c>
      <c r="M507" s="1" t="s">
        <v>835</v>
      </c>
      <c r="N507" s="1" t="s">
        <v>139</v>
      </c>
      <c r="O507" s="9">
        <v>8</v>
      </c>
      <c r="P507" s="1">
        <f>ROUNDUP(1120.9*(1-$F$3),2)</f>
        <v>1120.9000000000001</v>
      </c>
      <c r="Q507" s="1" t="s">
        <v>49</v>
      </c>
      <c r="R507" s="1" t="s">
        <v>3099</v>
      </c>
      <c r="S507" s="1" t="s">
        <v>3100</v>
      </c>
      <c r="T507" s="9">
        <v>10</v>
      </c>
      <c r="U507" s="1">
        <f>ROUNDUP(1019*(1-$F$3),2)</f>
        <v>1019</v>
      </c>
      <c r="V507" s="1">
        <v>343</v>
      </c>
      <c r="Y507" s="1" t="s">
        <v>3101</v>
      </c>
      <c r="Z507" s="1" t="s">
        <v>128</v>
      </c>
      <c r="AA507" s="12">
        <v>42996</v>
      </c>
      <c r="AB507" s="1" t="s">
        <v>445</v>
      </c>
      <c r="AC507" s="1" t="s">
        <v>1975</v>
      </c>
      <c r="AD507" s="1" t="s">
        <v>1975</v>
      </c>
      <c r="AE507" s="1" t="s">
        <v>69</v>
      </c>
      <c r="AG507" s="1">
        <v>8228590</v>
      </c>
    </row>
    <row r="508" spans="1:33" s="1" customFormat="1" x14ac:dyDescent="0.25">
      <c r="C508" s="1" t="s">
        <v>3102</v>
      </c>
      <c r="D508" s="1" t="s">
        <v>3096</v>
      </c>
      <c r="E508" s="1" t="s">
        <v>3103</v>
      </c>
      <c r="F508" s="13" t="s">
        <v>6952</v>
      </c>
      <c r="G508" s="1" t="s">
        <v>3104</v>
      </c>
      <c r="H508" s="1" t="s">
        <v>1240</v>
      </c>
      <c r="I508" s="1">
        <v>242</v>
      </c>
      <c r="J508" s="1" t="s">
        <v>46</v>
      </c>
      <c r="M508" s="1" t="s">
        <v>62</v>
      </c>
      <c r="N508" s="1" t="s">
        <v>139</v>
      </c>
      <c r="O508" s="9">
        <v>10</v>
      </c>
      <c r="P508" s="1">
        <f>ROUNDUP(830*(1-$F$3),2)</f>
        <v>830</v>
      </c>
      <c r="Q508" s="1" t="s">
        <v>49</v>
      </c>
      <c r="R508" s="1" t="s">
        <v>3105</v>
      </c>
      <c r="S508" s="1" t="s">
        <v>3106</v>
      </c>
      <c r="T508" s="9">
        <v>10</v>
      </c>
      <c r="U508" s="1">
        <f>ROUNDUP(754.55*(1-$F$3),2)</f>
        <v>754.55</v>
      </c>
      <c r="V508" s="1">
        <v>138</v>
      </c>
      <c r="Y508" s="1" t="s">
        <v>3107</v>
      </c>
      <c r="Z508" s="1" t="s">
        <v>53</v>
      </c>
      <c r="AA508" s="12">
        <v>43115</v>
      </c>
      <c r="AB508" s="1" t="s">
        <v>95</v>
      </c>
      <c r="AC508" s="1" t="s">
        <v>96</v>
      </c>
      <c r="AD508" s="1" t="s">
        <v>3108</v>
      </c>
      <c r="AE508" s="1" t="s">
        <v>69</v>
      </c>
      <c r="AG508" s="1">
        <v>8446720</v>
      </c>
    </row>
    <row r="509" spans="1:33" s="1" customFormat="1" x14ac:dyDescent="0.25">
      <c r="C509" s="1" t="s">
        <v>3109</v>
      </c>
      <c r="D509" s="1" t="s">
        <v>3110</v>
      </c>
      <c r="E509" s="1" t="s">
        <v>3111</v>
      </c>
      <c r="F509" s="13" t="s">
        <v>6952</v>
      </c>
      <c r="G509" s="1" t="s">
        <v>3112</v>
      </c>
      <c r="H509" s="1" t="s">
        <v>724</v>
      </c>
      <c r="I509" s="1">
        <v>704</v>
      </c>
      <c r="J509" s="1" t="s">
        <v>46</v>
      </c>
      <c r="M509" s="1" t="s">
        <v>47</v>
      </c>
      <c r="N509" s="1" t="s">
        <v>48</v>
      </c>
      <c r="O509" s="9">
        <v>3</v>
      </c>
      <c r="P509" s="1">
        <f>ROUNDUP(2890*(1-$F$3),2)</f>
        <v>2890</v>
      </c>
      <c r="Q509" s="1" t="s">
        <v>49</v>
      </c>
      <c r="R509" s="1" t="s">
        <v>3113</v>
      </c>
      <c r="S509" s="1" t="s">
        <v>3114</v>
      </c>
      <c r="T509" s="9">
        <v>10</v>
      </c>
      <c r="U509" s="1">
        <f>ROUNDUP(2627.27*(1-$F$3),2)</f>
        <v>2627.27</v>
      </c>
      <c r="V509" s="1">
        <v>1395</v>
      </c>
      <c r="Y509" s="1" t="s">
        <v>3115</v>
      </c>
      <c r="Z509" s="1" t="s">
        <v>53</v>
      </c>
      <c r="AA509" s="12">
        <v>43857</v>
      </c>
      <c r="AB509" s="1" t="s">
        <v>95</v>
      </c>
      <c r="AC509" s="1" t="s">
        <v>313</v>
      </c>
      <c r="AD509" s="1" t="s">
        <v>314</v>
      </c>
      <c r="AE509" s="1" t="s">
        <v>69</v>
      </c>
      <c r="AG509" s="1">
        <v>9247450</v>
      </c>
    </row>
    <row r="510" spans="1:33" s="1" customFormat="1" x14ac:dyDescent="0.25">
      <c r="C510" s="1" t="s">
        <v>3116</v>
      </c>
      <c r="D510" s="1" t="s">
        <v>3110</v>
      </c>
      <c r="E510" s="1" t="s">
        <v>3117</v>
      </c>
      <c r="F510" s="13" t="s">
        <v>6952</v>
      </c>
      <c r="G510" s="1" t="s">
        <v>3118</v>
      </c>
      <c r="H510" s="1" t="s">
        <v>724</v>
      </c>
      <c r="I510" s="1">
        <v>784</v>
      </c>
      <c r="J510" s="1" t="s">
        <v>46</v>
      </c>
      <c r="M510" s="1" t="s">
        <v>176</v>
      </c>
      <c r="N510" s="1" t="s">
        <v>48</v>
      </c>
      <c r="O510" s="9">
        <v>3</v>
      </c>
      <c r="P510" s="1">
        <f>ROUNDUP(3740*(1-$F$3),2)</f>
        <v>3740</v>
      </c>
      <c r="Q510" s="1" t="s">
        <v>49</v>
      </c>
      <c r="R510" s="1" t="s">
        <v>3119</v>
      </c>
      <c r="S510" s="1" t="s">
        <v>3120</v>
      </c>
      <c r="T510" s="9">
        <v>10</v>
      </c>
      <c r="U510" s="1">
        <f>ROUNDUP(3400*(1-$F$3),2)</f>
        <v>3400</v>
      </c>
      <c r="V510" s="1">
        <v>1824</v>
      </c>
      <c r="Y510" s="1" t="s">
        <v>3121</v>
      </c>
      <c r="Z510" s="1" t="s">
        <v>128</v>
      </c>
      <c r="AA510" s="12">
        <v>45283</v>
      </c>
      <c r="AB510" s="1" t="s">
        <v>334</v>
      </c>
      <c r="AC510" s="1" t="s">
        <v>335</v>
      </c>
      <c r="AD510" s="1" t="s">
        <v>357</v>
      </c>
      <c r="AE510" s="1" t="s">
        <v>69</v>
      </c>
      <c r="AG510" s="1">
        <v>11147440</v>
      </c>
    </row>
    <row r="511" spans="1:33" s="1" customFormat="1" x14ac:dyDescent="0.25">
      <c r="C511" s="1" t="s">
        <v>3122</v>
      </c>
      <c r="D511" s="1" t="s">
        <v>683</v>
      </c>
      <c r="E511" s="1" t="s">
        <v>3123</v>
      </c>
      <c r="F511" s="13" t="s">
        <v>6952</v>
      </c>
      <c r="G511" s="1" t="s">
        <v>3124</v>
      </c>
      <c r="H511" s="1" t="s">
        <v>61</v>
      </c>
      <c r="I511" s="1">
        <v>320</v>
      </c>
      <c r="J511" s="1" t="s">
        <v>46</v>
      </c>
      <c r="M511" s="1" t="s">
        <v>756</v>
      </c>
      <c r="N511" s="1" t="s">
        <v>48</v>
      </c>
      <c r="O511" s="9">
        <v>14</v>
      </c>
      <c r="P511" s="1">
        <f>ROUNDUP(1090*(1-$F$3),2)</f>
        <v>1090</v>
      </c>
      <c r="Q511" s="1" t="s">
        <v>49</v>
      </c>
      <c r="R511" s="1" t="s">
        <v>3125</v>
      </c>
      <c r="S511" s="1" t="s">
        <v>3126</v>
      </c>
      <c r="T511" s="9">
        <v>10</v>
      </c>
      <c r="U511" s="1">
        <f>ROUNDUP(990.91*(1-$F$3),2)</f>
        <v>990.91</v>
      </c>
      <c r="V511" s="1">
        <v>432</v>
      </c>
      <c r="Y511" s="1" t="s">
        <v>3127</v>
      </c>
      <c r="Z511" s="1" t="s">
        <v>53</v>
      </c>
      <c r="AA511" s="12">
        <v>44236</v>
      </c>
      <c r="AB511" s="1" t="s">
        <v>66</v>
      </c>
      <c r="AC511" s="1" t="s">
        <v>683</v>
      </c>
      <c r="AD511" s="1" t="s">
        <v>3128</v>
      </c>
      <c r="AE511" s="1" t="s">
        <v>69</v>
      </c>
      <c r="AG511" s="1">
        <v>9618300</v>
      </c>
    </row>
    <row r="512" spans="1:33" s="1" customFormat="1" x14ac:dyDescent="0.25">
      <c r="C512" s="1" t="s">
        <v>3129</v>
      </c>
      <c r="D512" s="1" t="s">
        <v>3130</v>
      </c>
      <c r="E512" s="1" t="s">
        <v>3131</v>
      </c>
      <c r="F512" s="13" t="s">
        <v>6952</v>
      </c>
      <c r="G512" s="1" t="s">
        <v>116</v>
      </c>
      <c r="H512" s="1" t="s">
        <v>61</v>
      </c>
      <c r="I512" s="1">
        <v>464</v>
      </c>
      <c r="J512" s="1" t="s">
        <v>46</v>
      </c>
      <c r="M512" s="1" t="s">
        <v>47</v>
      </c>
      <c r="N512" s="1" t="s">
        <v>48</v>
      </c>
      <c r="O512" s="9">
        <v>6</v>
      </c>
      <c r="P512" s="1">
        <f>ROUNDUP(1250*(1-$F$3),2)</f>
        <v>1250</v>
      </c>
      <c r="Q512" s="1" t="s">
        <v>49</v>
      </c>
      <c r="R512" s="1" t="s">
        <v>3132</v>
      </c>
      <c r="S512" s="1" t="s">
        <v>3133</v>
      </c>
      <c r="T512" s="9">
        <v>22</v>
      </c>
      <c r="U512" s="1">
        <f>ROUNDUP(1024.59*(1-$F$3),2)</f>
        <v>1024.5899999999999</v>
      </c>
      <c r="V512" s="1">
        <v>502</v>
      </c>
      <c r="Y512" s="1" t="s">
        <v>3134</v>
      </c>
      <c r="Z512" s="1" t="s">
        <v>76</v>
      </c>
      <c r="AA512" s="12">
        <v>45747</v>
      </c>
      <c r="AB512" s="1" t="s">
        <v>66</v>
      </c>
      <c r="AC512" s="1" t="s">
        <v>120</v>
      </c>
      <c r="AD512" s="1" t="s">
        <v>121</v>
      </c>
      <c r="AE512" s="1" t="s">
        <v>69</v>
      </c>
      <c r="AG512" s="1">
        <v>11664240</v>
      </c>
    </row>
    <row r="513" spans="3:33" s="1" customFormat="1" x14ac:dyDescent="0.25">
      <c r="C513" s="1" t="s">
        <v>3135</v>
      </c>
      <c r="D513" s="1" t="s">
        <v>3130</v>
      </c>
      <c r="E513" s="1" t="s">
        <v>3136</v>
      </c>
      <c r="F513" s="13" t="s">
        <v>6952</v>
      </c>
      <c r="G513" s="1" t="s">
        <v>116</v>
      </c>
      <c r="H513" s="1" t="s">
        <v>61</v>
      </c>
      <c r="I513" s="1">
        <v>448</v>
      </c>
      <c r="J513" s="1" t="s">
        <v>46</v>
      </c>
      <c r="M513" s="1" t="s">
        <v>62</v>
      </c>
      <c r="N513" s="1" t="s">
        <v>48</v>
      </c>
      <c r="O513" s="9">
        <v>6</v>
      </c>
      <c r="P513" s="1">
        <f>ROUNDUP(1000*(1-$F$3),2)</f>
        <v>1000</v>
      </c>
      <c r="Q513" s="1" t="s">
        <v>49</v>
      </c>
      <c r="R513" s="1" t="s">
        <v>3137</v>
      </c>
      <c r="S513" s="1" t="s">
        <v>3138</v>
      </c>
      <c r="T513" s="9">
        <v>22</v>
      </c>
      <c r="U513" s="1">
        <f>ROUNDUP(819.67*(1-$F$3),2)</f>
        <v>819.67</v>
      </c>
      <c r="V513" s="1">
        <v>523</v>
      </c>
      <c r="Y513" s="1" t="s">
        <v>3139</v>
      </c>
      <c r="Z513" s="1" t="s">
        <v>76</v>
      </c>
      <c r="AA513" s="12">
        <v>45982</v>
      </c>
      <c r="AB513" s="1" t="s">
        <v>66</v>
      </c>
      <c r="AC513" s="1" t="s">
        <v>120</v>
      </c>
      <c r="AD513" s="1" t="s">
        <v>121</v>
      </c>
      <c r="AE513" s="1" t="s">
        <v>69</v>
      </c>
      <c r="AG513" s="1">
        <v>11934630</v>
      </c>
    </row>
    <row r="514" spans="3:33" s="1" customFormat="1" x14ac:dyDescent="0.25">
      <c r="C514" s="1" t="s">
        <v>3140</v>
      </c>
      <c r="D514" s="1" t="s">
        <v>3130</v>
      </c>
      <c r="E514" s="1" t="s">
        <v>3141</v>
      </c>
      <c r="F514" s="13" t="s">
        <v>6952</v>
      </c>
      <c r="G514" s="1" t="s">
        <v>116</v>
      </c>
      <c r="H514" s="1" t="s">
        <v>61</v>
      </c>
      <c r="I514" s="1">
        <v>448</v>
      </c>
      <c r="J514" s="1" t="s">
        <v>46</v>
      </c>
      <c r="M514" s="1" t="s">
        <v>62</v>
      </c>
      <c r="N514" s="1" t="s">
        <v>48</v>
      </c>
      <c r="O514" s="9">
        <v>6</v>
      </c>
      <c r="P514" s="1">
        <f>ROUNDUP(1260*(1-$F$3),2)</f>
        <v>1260</v>
      </c>
      <c r="Q514" s="1" t="s">
        <v>49</v>
      </c>
      <c r="R514" s="1" t="s">
        <v>3142</v>
      </c>
      <c r="S514" s="1" t="s">
        <v>3143</v>
      </c>
      <c r="T514" s="9">
        <v>22</v>
      </c>
      <c r="U514" s="1">
        <f>ROUNDUP(1032.79*(1-$F$3),2)</f>
        <v>1032.79</v>
      </c>
      <c r="V514" s="1">
        <v>528</v>
      </c>
      <c r="Y514" s="1" t="s">
        <v>3144</v>
      </c>
      <c r="Z514" s="1" t="s">
        <v>76</v>
      </c>
      <c r="AA514" s="12">
        <v>45618</v>
      </c>
      <c r="AB514" s="1" t="s">
        <v>66</v>
      </c>
      <c r="AC514" s="1" t="s">
        <v>120</v>
      </c>
      <c r="AD514" s="1" t="s">
        <v>121</v>
      </c>
      <c r="AE514" s="1" t="s">
        <v>69</v>
      </c>
      <c r="AG514" s="1">
        <v>11502880</v>
      </c>
    </row>
    <row r="515" spans="3:33" s="1" customFormat="1" x14ac:dyDescent="0.25">
      <c r="C515" s="1" t="s">
        <v>3145</v>
      </c>
      <c r="D515" s="1" t="s">
        <v>3146</v>
      </c>
      <c r="E515" s="1" t="s">
        <v>3147</v>
      </c>
      <c r="F515" s="13" t="s">
        <v>6952</v>
      </c>
      <c r="G515" s="1" t="s">
        <v>3148</v>
      </c>
      <c r="H515" s="1" t="s">
        <v>61</v>
      </c>
      <c r="I515" s="1">
        <v>176</v>
      </c>
      <c r="J515" s="1" t="s">
        <v>46</v>
      </c>
      <c r="M515" s="1" t="s">
        <v>176</v>
      </c>
      <c r="N515" s="1" t="s">
        <v>48</v>
      </c>
      <c r="O515" s="9">
        <v>18</v>
      </c>
      <c r="P515" s="1">
        <f>ROUNDUP(1020*(1-$F$3),2)</f>
        <v>1020</v>
      </c>
      <c r="Q515" s="1" t="s">
        <v>49</v>
      </c>
      <c r="R515" s="1" t="s">
        <v>3149</v>
      </c>
      <c r="S515" s="1" t="s">
        <v>3150</v>
      </c>
      <c r="T515" s="9">
        <v>10</v>
      </c>
      <c r="U515" s="1">
        <f>ROUNDUP(927.27*(1-$F$3),2)</f>
        <v>927.27</v>
      </c>
      <c r="V515" s="1">
        <v>332</v>
      </c>
      <c r="Y515" s="1" t="s">
        <v>3151</v>
      </c>
      <c r="Z515" s="1" t="s">
        <v>53</v>
      </c>
      <c r="AA515" s="12">
        <v>45245</v>
      </c>
      <c r="AB515" s="1" t="s">
        <v>66</v>
      </c>
      <c r="AC515" s="1" t="s">
        <v>77</v>
      </c>
      <c r="AD515" s="1" t="s">
        <v>78</v>
      </c>
      <c r="AE515" s="1" t="s">
        <v>69</v>
      </c>
      <c r="AG515" s="1">
        <v>11141950</v>
      </c>
    </row>
    <row r="516" spans="3:33" s="1" customFormat="1" x14ac:dyDescent="0.25">
      <c r="C516" s="1" t="s">
        <v>3152</v>
      </c>
      <c r="D516" s="1" t="s">
        <v>3146</v>
      </c>
      <c r="E516" s="1" t="s">
        <v>3153</v>
      </c>
      <c r="F516" s="13" t="s">
        <v>6952</v>
      </c>
      <c r="G516" s="1" t="s">
        <v>3154</v>
      </c>
      <c r="H516" s="1" t="s">
        <v>61</v>
      </c>
      <c r="I516" s="1">
        <v>256</v>
      </c>
      <c r="J516" s="1" t="s">
        <v>46</v>
      </c>
      <c r="M516" s="1" t="s">
        <v>62</v>
      </c>
      <c r="N516" s="1" t="s">
        <v>48</v>
      </c>
      <c r="O516" s="9">
        <v>10</v>
      </c>
      <c r="P516" s="1">
        <f>ROUNDUP(990*(1-$F$3),2)</f>
        <v>990</v>
      </c>
      <c r="Q516" s="1" t="s">
        <v>49</v>
      </c>
      <c r="R516" s="1" t="s">
        <v>3155</v>
      </c>
      <c r="S516" s="1" t="s">
        <v>3156</v>
      </c>
      <c r="T516" s="9">
        <v>10</v>
      </c>
      <c r="U516" s="1">
        <f>ROUNDUP(900*(1-$F$3),2)</f>
        <v>900</v>
      </c>
      <c r="V516" s="1">
        <v>353</v>
      </c>
      <c r="Y516" s="1" t="s">
        <v>3146</v>
      </c>
      <c r="Z516" s="1" t="s">
        <v>53</v>
      </c>
      <c r="AA516" s="12">
        <v>45213</v>
      </c>
      <c r="AB516" s="1" t="s">
        <v>66</v>
      </c>
      <c r="AC516" s="1" t="s">
        <v>77</v>
      </c>
      <c r="AD516" s="1" t="s">
        <v>78</v>
      </c>
      <c r="AE516" s="1" t="s">
        <v>69</v>
      </c>
      <c r="AG516" s="1">
        <v>11101930</v>
      </c>
    </row>
    <row r="517" spans="3:33" s="1" customFormat="1" x14ac:dyDescent="0.25">
      <c r="C517" s="1" t="s">
        <v>3157</v>
      </c>
      <c r="D517" s="1" t="s">
        <v>3146</v>
      </c>
      <c r="E517" s="1" t="s">
        <v>3158</v>
      </c>
      <c r="F517" s="13" t="s">
        <v>6952</v>
      </c>
      <c r="G517" s="1" t="s">
        <v>3154</v>
      </c>
      <c r="H517" s="1" t="s">
        <v>61</v>
      </c>
      <c r="I517" s="1">
        <v>488</v>
      </c>
      <c r="J517" s="1" t="s">
        <v>46</v>
      </c>
      <c r="M517" s="1" t="s">
        <v>62</v>
      </c>
      <c r="N517" s="1" t="s">
        <v>48</v>
      </c>
      <c r="O517" s="9">
        <v>1</v>
      </c>
      <c r="P517" s="1">
        <f>ROUNDUP(1630*(1-$F$3),2)</f>
        <v>1630</v>
      </c>
      <c r="Q517" s="1" t="s">
        <v>49</v>
      </c>
      <c r="R517" s="1" t="s">
        <v>3159</v>
      </c>
      <c r="S517" s="1" t="s">
        <v>3160</v>
      </c>
      <c r="T517" s="9">
        <v>22</v>
      </c>
      <c r="U517" s="1">
        <f>ROUNDUP(1336.07*(1-$F$3),2)</f>
        <v>1336.07</v>
      </c>
      <c r="V517" s="1">
        <v>681</v>
      </c>
      <c r="Y517" s="1" t="s">
        <v>3161</v>
      </c>
      <c r="Z517" s="1" t="s">
        <v>76</v>
      </c>
      <c r="AA517" s="12">
        <v>45590</v>
      </c>
      <c r="AB517" s="1" t="s">
        <v>66</v>
      </c>
      <c r="AC517" s="1" t="s">
        <v>77</v>
      </c>
      <c r="AD517" s="1" t="s">
        <v>78</v>
      </c>
      <c r="AE517" s="1" t="s">
        <v>69</v>
      </c>
      <c r="AG517" s="1">
        <v>11527500</v>
      </c>
    </row>
    <row r="518" spans="3:33" s="1" customFormat="1" x14ac:dyDescent="0.25">
      <c r="C518" s="1" t="s">
        <v>3162</v>
      </c>
      <c r="D518" s="1" t="s">
        <v>3146</v>
      </c>
      <c r="E518" s="1" t="s">
        <v>3163</v>
      </c>
      <c r="F518" s="13" t="s">
        <v>6952</v>
      </c>
      <c r="G518" s="1" t="s">
        <v>291</v>
      </c>
      <c r="H518" s="1" t="s">
        <v>61</v>
      </c>
      <c r="I518" s="1">
        <v>224</v>
      </c>
      <c r="J518" s="1" t="s">
        <v>46</v>
      </c>
      <c r="M518" s="1" t="s">
        <v>62</v>
      </c>
      <c r="N518" s="1" t="s">
        <v>48</v>
      </c>
      <c r="O518" s="9">
        <v>10</v>
      </c>
      <c r="P518" s="1">
        <f>ROUNDUP(1100*(1-$F$3),2)</f>
        <v>1100</v>
      </c>
      <c r="Q518" s="1" t="s">
        <v>49</v>
      </c>
      <c r="R518" s="1" t="s">
        <v>3164</v>
      </c>
      <c r="S518" s="1" t="s">
        <v>3165</v>
      </c>
      <c r="T518" s="9">
        <v>10</v>
      </c>
      <c r="U518" s="1">
        <f>ROUNDUP(1000*(1-$F$3),2)</f>
        <v>1000</v>
      </c>
      <c r="V518" s="1">
        <v>324</v>
      </c>
      <c r="Y518" s="1" t="s">
        <v>3166</v>
      </c>
      <c r="Z518" s="1" t="s">
        <v>53</v>
      </c>
      <c r="AA518" s="12">
        <v>45517</v>
      </c>
      <c r="AB518" s="1" t="s">
        <v>66</v>
      </c>
      <c r="AC518" s="1" t="s">
        <v>77</v>
      </c>
      <c r="AD518" s="1" t="s">
        <v>78</v>
      </c>
      <c r="AE518" s="1" t="s">
        <v>69</v>
      </c>
      <c r="AG518" s="1">
        <v>11427530</v>
      </c>
    </row>
    <row r="519" spans="3:33" s="1" customFormat="1" x14ac:dyDescent="0.25">
      <c r="C519" s="1" t="s">
        <v>3167</v>
      </c>
      <c r="D519" s="1" t="s">
        <v>3146</v>
      </c>
      <c r="E519" s="1" t="s">
        <v>3168</v>
      </c>
      <c r="F519" s="13" t="s">
        <v>6952</v>
      </c>
      <c r="G519" s="1" t="s">
        <v>3154</v>
      </c>
      <c r="H519" s="1" t="s">
        <v>61</v>
      </c>
      <c r="I519" s="1">
        <v>232</v>
      </c>
      <c r="J519" s="1" t="s">
        <v>46</v>
      </c>
      <c r="M519" s="1" t="s">
        <v>47</v>
      </c>
      <c r="N519" s="1" t="s">
        <v>48</v>
      </c>
      <c r="O519" s="9">
        <v>6</v>
      </c>
      <c r="P519" s="1">
        <f>ROUNDUP(830*(1-$F$3),2)</f>
        <v>830</v>
      </c>
      <c r="Q519" s="1" t="s">
        <v>49</v>
      </c>
      <c r="R519" s="1" t="s">
        <v>3169</v>
      </c>
      <c r="S519" s="1" t="s">
        <v>3170</v>
      </c>
      <c r="T519" s="9">
        <v>22</v>
      </c>
      <c r="U519" s="1">
        <f>ROUNDUP(680.33*(1-$F$3),2)</f>
        <v>680.33</v>
      </c>
      <c r="V519" s="1">
        <v>332</v>
      </c>
      <c r="Y519" s="1" t="s">
        <v>3171</v>
      </c>
      <c r="Z519" s="1" t="s">
        <v>76</v>
      </c>
      <c r="AA519" s="12">
        <v>45588</v>
      </c>
      <c r="AB519" s="1" t="s">
        <v>66</v>
      </c>
      <c r="AC519" s="1" t="s">
        <v>77</v>
      </c>
      <c r="AD519" s="1" t="s">
        <v>78</v>
      </c>
      <c r="AE519" s="1" t="s">
        <v>69</v>
      </c>
      <c r="AG519" s="1">
        <v>11491580</v>
      </c>
    </row>
    <row r="520" spans="3:33" s="1" customFormat="1" x14ac:dyDescent="0.25">
      <c r="C520" s="1" t="s">
        <v>3172</v>
      </c>
      <c r="D520" s="1" t="s">
        <v>3173</v>
      </c>
      <c r="E520" s="1" t="s">
        <v>3174</v>
      </c>
      <c r="F520" s="13" t="s">
        <v>6952</v>
      </c>
      <c r="G520" s="1" t="s">
        <v>3175</v>
      </c>
      <c r="H520" s="1" t="s">
        <v>160</v>
      </c>
      <c r="I520" s="1">
        <v>240</v>
      </c>
      <c r="J520" s="1" t="s">
        <v>46</v>
      </c>
      <c r="M520" s="1" t="s">
        <v>756</v>
      </c>
      <c r="N520" s="1" t="s">
        <v>48</v>
      </c>
      <c r="O520" s="9">
        <v>12</v>
      </c>
      <c r="P520" s="1">
        <f>ROUNDUP(750*(1-$F$3),2)</f>
        <v>750</v>
      </c>
      <c r="Q520" s="1" t="s">
        <v>49</v>
      </c>
      <c r="R520" s="1" t="s">
        <v>3176</v>
      </c>
      <c r="S520" s="1" t="s">
        <v>3177</v>
      </c>
      <c r="T520" s="9">
        <v>10</v>
      </c>
      <c r="U520" s="1">
        <f>ROUNDUP(681.82*(1-$F$3),2)</f>
        <v>681.82</v>
      </c>
      <c r="V520" s="1">
        <v>298</v>
      </c>
      <c r="Y520" s="1" t="s">
        <v>3178</v>
      </c>
      <c r="Z520" s="1" t="s">
        <v>53</v>
      </c>
      <c r="AA520" s="12">
        <v>44420</v>
      </c>
      <c r="AB520" s="1" t="s">
        <v>334</v>
      </c>
      <c r="AC520" s="1" t="s">
        <v>3179</v>
      </c>
      <c r="AD520" s="1" t="s">
        <v>3180</v>
      </c>
      <c r="AE520" s="1" t="s">
        <v>69</v>
      </c>
      <c r="AG520" s="1">
        <v>9757510</v>
      </c>
    </row>
    <row r="521" spans="3:33" s="1" customFormat="1" x14ac:dyDescent="0.25">
      <c r="C521" s="1" t="s">
        <v>3181</v>
      </c>
      <c r="D521" s="1" t="s">
        <v>3182</v>
      </c>
      <c r="E521" s="1" t="s">
        <v>3183</v>
      </c>
      <c r="F521" s="13" t="s">
        <v>6952</v>
      </c>
      <c r="G521" s="1" t="s">
        <v>3184</v>
      </c>
      <c r="H521" s="1" t="s">
        <v>3185</v>
      </c>
      <c r="I521" s="1">
        <v>112</v>
      </c>
      <c r="J521" s="1" t="s">
        <v>46</v>
      </c>
      <c r="M521" s="1" t="s">
        <v>3186</v>
      </c>
      <c r="N521" s="1" t="s">
        <v>139</v>
      </c>
      <c r="O521" s="9">
        <v>32</v>
      </c>
      <c r="P521" s="1">
        <f>ROUNDUP(265.2*(1-$F$3),2)</f>
        <v>265.2</v>
      </c>
      <c r="Q521" s="1" t="s">
        <v>49</v>
      </c>
      <c r="R521" s="1" t="s">
        <v>3187</v>
      </c>
      <c r="S521" s="1" t="s">
        <v>3188</v>
      </c>
      <c r="T521" s="9">
        <v>10</v>
      </c>
      <c r="U521" s="1">
        <f>ROUNDUP(241.09*(1-$F$3),2)</f>
        <v>241.09</v>
      </c>
      <c r="V521" s="1">
        <v>104</v>
      </c>
      <c r="W521" s="1" t="s">
        <v>3189</v>
      </c>
      <c r="X521" s="1" t="s">
        <v>3190</v>
      </c>
      <c r="Y521" s="1" t="s">
        <v>3191</v>
      </c>
      <c r="AA521" s="12">
        <v>42247</v>
      </c>
      <c r="AB521" s="1" t="s">
        <v>86</v>
      </c>
      <c r="AC521" s="1" t="s">
        <v>1570</v>
      </c>
      <c r="AD521" s="1" t="s">
        <v>1571</v>
      </c>
      <c r="AE521" s="1" t="s">
        <v>69</v>
      </c>
      <c r="AG521" s="1">
        <v>7139070</v>
      </c>
    </row>
    <row r="522" spans="3:33" s="1" customFormat="1" x14ac:dyDescent="0.25">
      <c r="C522" s="1" t="s">
        <v>3192</v>
      </c>
      <c r="D522" s="1" t="s">
        <v>3193</v>
      </c>
      <c r="E522" s="1" t="s">
        <v>3194</v>
      </c>
      <c r="F522" s="13" t="s">
        <v>6952</v>
      </c>
      <c r="G522" s="1" t="s">
        <v>469</v>
      </c>
      <c r="H522" s="1" t="s">
        <v>160</v>
      </c>
      <c r="I522" s="1">
        <v>384</v>
      </c>
      <c r="J522" s="1" t="s">
        <v>46</v>
      </c>
      <c r="M522" s="1" t="s">
        <v>161</v>
      </c>
      <c r="N522" s="1" t="s">
        <v>48</v>
      </c>
      <c r="O522" s="9">
        <v>10</v>
      </c>
      <c r="P522" s="1">
        <f>ROUNDUP(1230*(1-$F$3),2)</f>
        <v>1230</v>
      </c>
      <c r="Q522" s="1" t="s">
        <v>49</v>
      </c>
      <c r="R522" s="1" t="s">
        <v>3195</v>
      </c>
      <c r="S522" s="1" t="s">
        <v>3196</v>
      </c>
      <c r="T522" s="9">
        <v>10</v>
      </c>
      <c r="U522" s="1">
        <f>ROUNDUP(1118.18*(1-$F$3),2)</f>
        <v>1118.18</v>
      </c>
      <c r="V522" s="1">
        <v>494</v>
      </c>
      <c r="Y522" s="1" t="s">
        <v>3197</v>
      </c>
      <c r="Z522" s="1" t="s">
        <v>53</v>
      </c>
      <c r="AA522" s="12">
        <v>45225</v>
      </c>
      <c r="AB522" s="1" t="s">
        <v>66</v>
      </c>
      <c r="AC522" s="1" t="s">
        <v>120</v>
      </c>
      <c r="AD522" s="1" t="s">
        <v>121</v>
      </c>
      <c r="AE522" s="1" t="s">
        <v>69</v>
      </c>
      <c r="AG522" s="1">
        <v>11067760</v>
      </c>
    </row>
    <row r="523" spans="3:33" s="1" customFormat="1" x14ac:dyDescent="0.25">
      <c r="C523" s="1" t="s">
        <v>3198</v>
      </c>
      <c r="D523" s="1" t="s">
        <v>3199</v>
      </c>
      <c r="E523" s="1" t="s">
        <v>3200</v>
      </c>
      <c r="F523" s="13" t="s">
        <v>6952</v>
      </c>
      <c r="G523" s="1" t="s">
        <v>3201</v>
      </c>
      <c r="H523" s="1" t="s">
        <v>160</v>
      </c>
      <c r="I523" s="1">
        <v>384</v>
      </c>
      <c r="J523" s="1" t="s">
        <v>46</v>
      </c>
      <c r="M523" s="1" t="s">
        <v>169</v>
      </c>
      <c r="N523" s="1" t="s">
        <v>48</v>
      </c>
      <c r="O523" s="9">
        <v>8</v>
      </c>
      <c r="P523" s="1">
        <f>ROUNDUP(1090*(1-$F$3),2)</f>
        <v>1090</v>
      </c>
      <c r="Q523" s="1" t="s">
        <v>49</v>
      </c>
      <c r="R523" s="1" t="s">
        <v>3202</v>
      </c>
      <c r="S523" s="1" t="s">
        <v>3203</v>
      </c>
      <c r="T523" s="9">
        <v>22</v>
      </c>
      <c r="U523" s="1">
        <f>ROUNDUP(893.44*(1-$F$3),2)</f>
        <v>893.44</v>
      </c>
      <c r="V523" s="1">
        <v>424</v>
      </c>
      <c r="Y523" s="1" t="s">
        <v>3204</v>
      </c>
      <c r="Z523" s="1" t="s">
        <v>76</v>
      </c>
      <c r="AA523" s="12">
        <v>44593</v>
      </c>
      <c r="AB523" s="1" t="s">
        <v>445</v>
      </c>
      <c r="AC523" s="1" t="s">
        <v>446</v>
      </c>
      <c r="AD523" s="1" t="s">
        <v>3205</v>
      </c>
      <c r="AE523" s="1" t="s">
        <v>69</v>
      </c>
      <c r="AG523" s="1">
        <v>10165740</v>
      </c>
    </row>
    <row r="524" spans="3:33" s="1" customFormat="1" x14ac:dyDescent="0.25">
      <c r="C524" s="1" t="s">
        <v>3206</v>
      </c>
      <c r="D524" s="1" t="s">
        <v>3207</v>
      </c>
      <c r="E524" s="1" t="s">
        <v>3208</v>
      </c>
      <c r="F524" s="13" t="s">
        <v>6952</v>
      </c>
      <c r="G524" s="1" t="s">
        <v>3209</v>
      </c>
      <c r="H524" s="1" t="s">
        <v>61</v>
      </c>
      <c r="I524" s="1">
        <v>350</v>
      </c>
      <c r="J524" s="1" t="s">
        <v>46</v>
      </c>
      <c r="K524" s="1" t="s">
        <v>1417</v>
      </c>
      <c r="M524" s="1" t="s">
        <v>1061</v>
      </c>
      <c r="N524" s="1" t="s">
        <v>139</v>
      </c>
      <c r="O524" s="9">
        <v>10</v>
      </c>
      <c r="P524" s="1">
        <f>ROUNDUP(1020*(1-$F$3),2)</f>
        <v>1020</v>
      </c>
      <c r="Q524" s="1" t="s">
        <v>49</v>
      </c>
      <c r="R524" s="1" t="s">
        <v>3210</v>
      </c>
      <c r="S524" s="1" t="s">
        <v>3211</v>
      </c>
      <c r="T524" s="9">
        <v>10</v>
      </c>
      <c r="U524" s="1">
        <f>ROUNDUP(927.27*(1-$F$3),2)</f>
        <v>927.27</v>
      </c>
      <c r="V524" s="1">
        <v>383</v>
      </c>
      <c r="Y524" s="1" t="s">
        <v>3212</v>
      </c>
      <c r="Z524" s="1" t="s">
        <v>53</v>
      </c>
      <c r="AA524" s="12">
        <v>43742</v>
      </c>
      <c r="AB524" s="1" t="s">
        <v>95</v>
      </c>
      <c r="AC524" s="1" t="s">
        <v>3213</v>
      </c>
      <c r="AD524" s="1" t="s">
        <v>3214</v>
      </c>
      <c r="AE524" s="1" t="s">
        <v>69</v>
      </c>
      <c r="AG524" s="1">
        <v>9139810</v>
      </c>
    </row>
    <row r="525" spans="3:33" s="1" customFormat="1" x14ac:dyDescent="0.25">
      <c r="C525" s="1" t="s">
        <v>3215</v>
      </c>
      <c r="D525" s="1" t="s">
        <v>3216</v>
      </c>
      <c r="E525" s="1" t="s">
        <v>3217</v>
      </c>
      <c r="F525" s="13" t="s">
        <v>6952</v>
      </c>
      <c r="G525" s="1" t="s">
        <v>405</v>
      </c>
      <c r="H525" s="1" t="s">
        <v>61</v>
      </c>
      <c r="I525" s="1">
        <v>256</v>
      </c>
      <c r="J525" s="1" t="s">
        <v>46</v>
      </c>
      <c r="M525" s="1" t="s">
        <v>176</v>
      </c>
      <c r="N525" s="1" t="s">
        <v>48</v>
      </c>
      <c r="O525" s="9">
        <v>14</v>
      </c>
      <c r="P525" s="1">
        <f>ROUNDUP(840*(1-$F$3),2)</f>
        <v>840</v>
      </c>
      <c r="Q525" s="1" t="s">
        <v>49</v>
      </c>
      <c r="R525" s="1" t="s">
        <v>3218</v>
      </c>
      <c r="S525" s="1" t="s">
        <v>3219</v>
      </c>
      <c r="T525" s="9">
        <v>10</v>
      </c>
      <c r="U525" s="1">
        <f>ROUNDUP(763.64*(1-$F$3),2)</f>
        <v>763.64</v>
      </c>
      <c r="V525" s="1">
        <v>299</v>
      </c>
      <c r="Y525" s="1" t="s">
        <v>3220</v>
      </c>
      <c r="Z525" s="1" t="s">
        <v>128</v>
      </c>
      <c r="AA525" s="12">
        <v>45251</v>
      </c>
      <c r="AB525" s="1" t="s">
        <v>66</v>
      </c>
      <c r="AC525" s="1" t="s">
        <v>3221</v>
      </c>
      <c r="AD525" s="1" t="s">
        <v>3222</v>
      </c>
      <c r="AE525" s="1" t="s">
        <v>69</v>
      </c>
      <c r="AG525" s="1">
        <v>11148920</v>
      </c>
    </row>
    <row r="526" spans="3:33" s="1" customFormat="1" x14ac:dyDescent="0.25">
      <c r="C526" s="1" t="s">
        <v>3223</v>
      </c>
      <c r="D526" s="1" t="s">
        <v>3216</v>
      </c>
      <c r="E526" s="1" t="s">
        <v>3224</v>
      </c>
      <c r="F526" s="13" t="s">
        <v>6952</v>
      </c>
      <c r="G526" s="1" t="s">
        <v>44</v>
      </c>
      <c r="H526" s="1" t="s">
        <v>61</v>
      </c>
      <c r="I526" s="1">
        <v>420</v>
      </c>
      <c r="J526" s="1" t="s">
        <v>46</v>
      </c>
      <c r="M526" s="1" t="s">
        <v>47</v>
      </c>
      <c r="N526" s="1" t="s">
        <v>48</v>
      </c>
      <c r="O526" s="9">
        <v>5</v>
      </c>
      <c r="P526" s="1">
        <f>ROUNDUP(1840*(1-$F$3),2)</f>
        <v>1840</v>
      </c>
      <c r="Q526" s="1" t="s">
        <v>49</v>
      </c>
      <c r="R526" s="1" t="s">
        <v>3225</v>
      </c>
      <c r="S526" s="1" t="s">
        <v>3226</v>
      </c>
      <c r="T526" s="9">
        <v>10</v>
      </c>
      <c r="U526" s="1">
        <f>ROUNDUP(1672.73*(1-$F$3),2)</f>
        <v>1672.73</v>
      </c>
      <c r="V526" s="1">
        <v>454</v>
      </c>
      <c r="Y526" s="1" t="s">
        <v>3227</v>
      </c>
      <c r="Z526" s="1" t="s">
        <v>53</v>
      </c>
      <c r="AA526" s="12">
        <v>45336</v>
      </c>
      <c r="AB526" s="1" t="s">
        <v>66</v>
      </c>
      <c r="AC526" s="1" t="s">
        <v>683</v>
      </c>
      <c r="AD526" s="1" t="s">
        <v>684</v>
      </c>
      <c r="AE526" s="1" t="s">
        <v>69</v>
      </c>
      <c r="AG526" s="1">
        <v>11230090</v>
      </c>
    </row>
    <row r="527" spans="3:33" s="1" customFormat="1" x14ac:dyDescent="0.25">
      <c r="C527" s="1" t="s">
        <v>3228</v>
      </c>
      <c r="D527" s="1" t="s">
        <v>3216</v>
      </c>
      <c r="E527" s="1" t="s">
        <v>3229</v>
      </c>
      <c r="F527" s="13" t="s">
        <v>6952</v>
      </c>
      <c r="G527" s="1" t="s">
        <v>3230</v>
      </c>
      <c r="H527" s="1" t="s">
        <v>61</v>
      </c>
      <c r="I527" s="1">
        <v>416</v>
      </c>
      <c r="J527" s="1" t="s">
        <v>46</v>
      </c>
      <c r="M527" s="1" t="s">
        <v>62</v>
      </c>
      <c r="N527" s="1" t="s">
        <v>48</v>
      </c>
      <c r="O527" s="9">
        <v>10</v>
      </c>
      <c r="P527" s="1">
        <f>ROUNDUP(1520*(1-$F$3),2)</f>
        <v>1520</v>
      </c>
      <c r="Q527" s="1" t="s">
        <v>49</v>
      </c>
      <c r="R527" s="1" t="s">
        <v>3231</v>
      </c>
      <c r="S527" s="1" t="s">
        <v>3232</v>
      </c>
      <c r="T527" s="9">
        <v>10</v>
      </c>
      <c r="U527" s="1">
        <f>ROUNDUP(1381.82*(1-$F$3),2)</f>
        <v>1381.82</v>
      </c>
      <c r="V527" s="1">
        <v>503</v>
      </c>
      <c r="Y527" s="1" t="s">
        <v>3233</v>
      </c>
      <c r="Z527" s="1" t="s">
        <v>53</v>
      </c>
      <c r="AA527" s="12">
        <v>45225</v>
      </c>
      <c r="AB527" s="1" t="s">
        <v>66</v>
      </c>
      <c r="AC527" s="1" t="s">
        <v>3221</v>
      </c>
      <c r="AD527" s="1" t="s">
        <v>3222</v>
      </c>
      <c r="AE527" s="1" t="s">
        <v>69</v>
      </c>
      <c r="AG527" s="1">
        <v>11081870</v>
      </c>
    </row>
    <row r="528" spans="3:33" s="1" customFormat="1" x14ac:dyDescent="0.25">
      <c r="C528" s="1" t="s">
        <v>3234</v>
      </c>
      <c r="D528" s="1" t="s">
        <v>3216</v>
      </c>
      <c r="E528" s="1" t="s">
        <v>3235</v>
      </c>
      <c r="F528" s="13" t="s">
        <v>6952</v>
      </c>
      <c r="G528" s="1" t="s">
        <v>973</v>
      </c>
      <c r="H528" s="1" t="s">
        <v>61</v>
      </c>
      <c r="I528" s="1">
        <v>512</v>
      </c>
      <c r="J528" s="1" t="s">
        <v>46</v>
      </c>
      <c r="M528" s="1" t="s">
        <v>47</v>
      </c>
      <c r="N528" s="1" t="s">
        <v>48</v>
      </c>
      <c r="O528" s="9">
        <v>6</v>
      </c>
      <c r="P528" s="1">
        <f>ROUNDUP(1260*(1-$F$3),2)</f>
        <v>1260</v>
      </c>
      <c r="Q528" s="1" t="s">
        <v>49</v>
      </c>
      <c r="R528" s="1" t="s">
        <v>3236</v>
      </c>
      <c r="S528" s="1" t="s">
        <v>3237</v>
      </c>
      <c r="T528" s="9">
        <v>10</v>
      </c>
      <c r="U528" s="1">
        <f>ROUNDUP(1145.45*(1-$F$3),2)</f>
        <v>1145.45</v>
      </c>
      <c r="V528" s="1">
        <v>569</v>
      </c>
      <c r="Y528" s="1" t="s">
        <v>3238</v>
      </c>
      <c r="Z528" s="1" t="s">
        <v>53</v>
      </c>
      <c r="AA528" s="12">
        <v>45225</v>
      </c>
      <c r="AB528" s="1" t="s">
        <v>66</v>
      </c>
      <c r="AC528" s="1" t="s">
        <v>77</v>
      </c>
      <c r="AD528" s="1" t="s">
        <v>78</v>
      </c>
      <c r="AE528" s="1" t="s">
        <v>69</v>
      </c>
      <c r="AG528" s="1">
        <v>11080320</v>
      </c>
    </row>
    <row r="529" spans="1:33" s="1" customFormat="1" x14ac:dyDescent="0.25">
      <c r="C529" s="1" t="s">
        <v>3239</v>
      </c>
      <c r="D529" s="1" t="s">
        <v>3216</v>
      </c>
      <c r="E529" s="1" t="s">
        <v>3240</v>
      </c>
      <c r="F529" s="13" t="s">
        <v>6952</v>
      </c>
      <c r="G529" s="1" t="s">
        <v>3241</v>
      </c>
      <c r="H529" s="1" t="s">
        <v>61</v>
      </c>
      <c r="I529" s="1">
        <v>352</v>
      </c>
      <c r="J529" s="1" t="s">
        <v>46</v>
      </c>
      <c r="M529" s="1" t="s">
        <v>47</v>
      </c>
      <c r="N529" s="1" t="s">
        <v>48</v>
      </c>
      <c r="O529" s="9">
        <v>4</v>
      </c>
      <c r="P529" s="1">
        <f>ROUNDUP(1270*(1-$F$3),2)</f>
        <v>1270</v>
      </c>
      <c r="Q529" s="1" t="s">
        <v>49</v>
      </c>
      <c r="R529" s="1" t="s">
        <v>3242</v>
      </c>
      <c r="S529" s="1" t="s">
        <v>3243</v>
      </c>
      <c r="T529" s="9">
        <v>10</v>
      </c>
      <c r="U529" s="1">
        <f>ROUNDUP(1154.55*(1-$F$3),2)</f>
        <v>1154.55</v>
      </c>
      <c r="V529" s="1">
        <v>411</v>
      </c>
      <c r="Y529" s="1" t="s">
        <v>3244</v>
      </c>
      <c r="Z529" s="1" t="s">
        <v>128</v>
      </c>
      <c r="AA529" s="12">
        <v>45434</v>
      </c>
      <c r="AB529" s="1" t="s">
        <v>573</v>
      </c>
      <c r="AC529" s="1" t="s">
        <v>66</v>
      </c>
      <c r="AD529" s="1" t="s">
        <v>2756</v>
      </c>
      <c r="AE529" s="1" t="s">
        <v>69</v>
      </c>
      <c r="AG529" s="1">
        <v>11327050</v>
      </c>
    </row>
    <row r="530" spans="1:33" s="1" customFormat="1" x14ac:dyDescent="0.25">
      <c r="C530" s="1" t="s">
        <v>3245</v>
      </c>
      <c r="D530" s="1" t="s">
        <v>3246</v>
      </c>
      <c r="E530" s="1" t="s">
        <v>3247</v>
      </c>
      <c r="F530" s="13" t="s">
        <v>6952</v>
      </c>
      <c r="G530" s="1" t="s">
        <v>3248</v>
      </c>
      <c r="H530" s="1" t="s">
        <v>82</v>
      </c>
      <c r="I530" s="1">
        <v>320</v>
      </c>
      <c r="J530" s="1" t="s">
        <v>46</v>
      </c>
      <c r="M530" s="1" t="s">
        <v>176</v>
      </c>
      <c r="N530" s="1" t="s">
        <v>48</v>
      </c>
      <c r="O530" s="9">
        <v>5</v>
      </c>
      <c r="P530" s="1">
        <f>ROUNDUP(2450*(1-$F$3),2)</f>
        <v>2450</v>
      </c>
      <c r="Q530" s="1" t="s">
        <v>49</v>
      </c>
      <c r="R530" s="1" t="s">
        <v>3249</v>
      </c>
      <c r="S530" s="1" t="s">
        <v>3250</v>
      </c>
      <c r="T530" s="9">
        <v>10</v>
      </c>
      <c r="U530" s="1">
        <f>ROUNDUP(2227.27*(1-$F$3),2)</f>
        <v>2227.27</v>
      </c>
      <c r="V530" s="1">
        <v>818</v>
      </c>
      <c r="Y530" s="1" t="s">
        <v>3251</v>
      </c>
      <c r="Z530" s="1" t="s">
        <v>711</v>
      </c>
      <c r="AA530" s="12">
        <v>45409</v>
      </c>
      <c r="AB530" s="1" t="s">
        <v>573</v>
      </c>
      <c r="AC530" s="1" t="s">
        <v>66</v>
      </c>
      <c r="AD530" s="1" t="s">
        <v>712</v>
      </c>
      <c r="AE530" s="1" t="s">
        <v>69</v>
      </c>
      <c r="AG530" s="1">
        <v>11290250</v>
      </c>
    </row>
    <row r="531" spans="1:33" s="1" customFormat="1" x14ac:dyDescent="0.25">
      <c r="C531" s="1" t="s">
        <v>3252</v>
      </c>
      <c r="D531" s="1" t="s">
        <v>3253</v>
      </c>
      <c r="E531" s="1" t="s">
        <v>3254</v>
      </c>
      <c r="F531" s="13" t="s">
        <v>6952</v>
      </c>
      <c r="G531" s="1" t="s">
        <v>3255</v>
      </c>
      <c r="H531" s="1" t="s">
        <v>160</v>
      </c>
      <c r="I531" s="1">
        <v>576</v>
      </c>
      <c r="J531" s="1" t="s">
        <v>46</v>
      </c>
      <c r="M531" s="1" t="s">
        <v>756</v>
      </c>
      <c r="N531" s="1" t="s">
        <v>139</v>
      </c>
      <c r="O531" s="9">
        <v>8</v>
      </c>
      <c r="P531" s="1">
        <f>ROUNDUP(630*(1-$F$3),2)</f>
        <v>630</v>
      </c>
      <c r="Q531" s="1" t="s">
        <v>49</v>
      </c>
      <c r="R531" s="1" t="s">
        <v>3256</v>
      </c>
      <c r="S531" s="1" t="s">
        <v>3257</v>
      </c>
      <c r="T531" s="9">
        <v>10</v>
      </c>
      <c r="U531" s="1">
        <f>ROUNDUP(572.73*(1-$F$3),2)</f>
        <v>572.73</v>
      </c>
      <c r="V531" s="1">
        <v>331</v>
      </c>
      <c r="Y531" s="1" t="s">
        <v>3258</v>
      </c>
      <c r="Z531" s="1" t="s">
        <v>53</v>
      </c>
      <c r="AA531" s="12">
        <v>44483</v>
      </c>
      <c r="AB531" s="1" t="s">
        <v>459</v>
      </c>
      <c r="AC531" s="1" t="s">
        <v>3259</v>
      </c>
      <c r="AD531" s="1" t="s">
        <v>3260</v>
      </c>
      <c r="AE531" s="1" t="s">
        <v>878</v>
      </c>
      <c r="AG531" s="1">
        <v>9801240</v>
      </c>
    </row>
    <row r="532" spans="1:33" s="1" customFormat="1" x14ac:dyDescent="0.25">
      <c r="C532" s="1" t="s">
        <v>3261</v>
      </c>
      <c r="D532" s="1" t="s">
        <v>3262</v>
      </c>
      <c r="E532" s="1" t="s">
        <v>3263</v>
      </c>
      <c r="F532" s="13" t="s">
        <v>6952</v>
      </c>
      <c r="G532" s="1" t="s">
        <v>3264</v>
      </c>
      <c r="H532" s="1" t="s">
        <v>61</v>
      </c>
      <c r="I532" s="1">
        <v>480</v>
      </c>
      <c r="J532" s="1" t="s">
        <v>46</v>
      </c>
      <c r="M532" s="1" t="s">
        <v>62</v>
      </c>
      <c r="N532" s="1" t="s">
        <v>48</v>
      </c>
      <c r="O532" s="9">
        <v>12</v>
      </c>
      <c r="P532" s="1">
        <f>ROUNDUP(1360*(1-$F$3),2)</f>
        <v>1360</v>
      </c>
      <c r="Q532" s="1" t="s">
        <v>49</v>
      </c>
      <c r="R532" s="1" t="s">
        <v>3265</v>
      </c>
      <c r="S532" s="1" t="s">
        <v>3266</v>
      </c>
      <c r="T532" s="9">
        <v>10</v>
      </c>
      <c r="U532" s="1">
        <f>ROUNDUP(1236.36*(1-$F$3),2)</f>
        <v>1236.3599999999999</v>
      </c>
      <c r="V532" s="1">
        <v>557</v>
      </c>
      <c r="Y532" s="1" t="s">
        <v>3267</v>
      </c>
      <c r="Z532" s="1" t="s">
        <v>53</v>
      </c>
      <c r="AA532" s="12">
        <v>45215</v>
      </c>
      <c r="AB532" s="1" t="s">
        <v>234</v>
      </c>
      <c r="AC532" s="1" t="s">
        <v>235</v>
      </c>
      <c r="AD532" s="1" t="s">
        <v>236</v>
      </c>
      <c r="AE532" s="1" t="s">
        <v>69</v>
      </c>
      <c r="AG532" s="1">
        <v>11066360</v>
      </c>
    </row>
    <row r="533" spans="1:33" s="1" customFormat="1" x14ac:dyDescent="0.25">
      <c r="C533" s="1" t="s">
        <v>3268</v>
      </c>
      <c r="D533" s="1" t="s">
        <v>3262</v>
      </c>
      <c r="E533" s="1" t="s">
        <v>3269</v>
      </c>
      <c r="F533" s="13" t="s">
        <v>6952</v>
      </c>
      <c r="G533" s="1" t="s">
        <v>3059</v>
      </c>
      <c r="H533" s="1" t="s">
        <v>61</v>
      </c>
      <c r="I533" s="1">
        <v>256</v>
      </c>
      <c r="J533" s="1" t="s">
        <v>46</v>
      </c>
      <c r="M533" s="1" t="s">
        <v>987</v>
      </c>
      <c r="N533" s="1" t="s">
        <v>48</v>
      </c>
      <c r="O533" s="9">
        <v>50</v>
      </c>
      <c r="P533" s="1">
        <f>ROUNDUP(1150*(1-$F$3),2)</f>
        <v>1150</v>
      </c>
      <c r="Q533" s="1" t="s">
        <v>49</v>
      </c>
      <c r="R533" s="1" t="s">
        <v>3270</v>
      </c>
      <c r="S533" s="1" t="s">
        <v>3271</v>
      </c>
      <c r="T533" s="9">
        <v>10</v>
      </c>
      <c r="U533" s="1">
        <f>ROUNDUP(1045.45*(1-$F$3),2)</f>
        <v>1045.45</v>
      </c>
      <c r="V533" s="1">
        <v>377</v>
      </c>
      <c r="Y533" s="1" t="s">
        <v>3272</v>
      </c>
      <c r="Z533" s="1" t="s">
        <v>76</v>
      </c>
      <c r="AA533" s="12">
        <v>42956</v>
      </c>
      <c r="AB533" s="1" t="s">
        <v>66</v>
      </c>
      <c r="AC533" s="1" t="s">
        <v>143</v>
      </c>
      <c r="AD533" s="1" t="s">
        <v>144</v>
      </c>
      <c r="AE533" s="1" t="s">
        <v>69</v>
      </c>
      <c r="AG533" s="1">
        <v>8235900</v>
      </c>
    </row>
    <row r="534" spans="1:33" s="1" customFormat="1" x14ac:dyDescent="0.25">
      <c r="C534" s="1" t="s">
        <v>3273</v>
      </c>
      <c r="D534" s="1" t="s">
        <v>3262</v>
      </c>
      <c r="E534" s="1" t="s">
        <v>3274</v>
      </c>
      <c r="F534" s="13" t="s">
        <v>6952</v>
      </c>
      <c r="G534" s="1" t="s">
        <v>3264</v>
      </c>
      <c r="H534" s="1" t="s">
        <v>61</v>
      </c>
      <c r="I534" s="1">
        <v>416</v>
      </c>
      <c r="J534" s="1" t="s">
        <v>46</v>
      </c>
      <c r="M534" s="1" t="s">
        <v>62</v>
      </c>
      <c r="N534" s="1" t="s">
        <v>48</v>
      </c>
      <c r="O534" s="9">
        <v>8</v>
      </c>
      <c r="P534" s="1">
        <f>ROUNDUP(1450*(1-$F$3),2)</f>
        <v>1450</v>
      </c>
      <c r="Q534" s="1" t="s">
        <v>49</v>
      </c>
      <c r="R534" s="1" t="s">
        <v>3275</v>
      </c>
      <c r="S534" s="1" t="s">
        <v>3276</v>
      </c>
      <c r="T534" s="9">
        <v>10</v>
      </c>
      <c r="U534" s="1">
        <f>ROUNDUP(1318.18*(1-$F$3),2)</f>
        <v>1318.18</v>
      </c>
      <c r="V534" s="1">
        <v>509</v>
      </c>
      <c r="Y534" s="1" t="s">
        <v>3277</v>
      </c>
      <c r="Z534" s="1" t="s">
        <v>53</v>
      </c>
      <c r="AA534" s="12">
        <v>45215</v>
      </c>
      <c r="AB534" s="1" t="s">
        <v>234</v>
      </c>
      <c r="AC534" s="1" t="s">
        <v>235</v>
      </c>
      <c r="AD534" s="1" t="s">
        <v>236</v>
      </c>
      <c r="AE534" s="1" t="s">
        <v>69</v>
      </c>
      <c r="AG534" s="1">
        <v>11066370</v>
      </c>
    </row>
    <row r="535" spans="1:33" s="11" customFormat="1" x14ac:dyDescent="0.25">
      <c r="A535" s="11" t="s">
        <v>6953</v>
      </c>
      <c r="C535" s="11" t="s">
        <v>3278</v>
      </c>
      <c r="D535" s="11" t="s">
        <v>3262</v>
      </c>
      <c r="E535" s="11" t="s">
        <v>3279</v>
      </c>
      <c r="F535" s="14" t="s">
        <v>6952</v>
      </c>
      <c r="G535" s="11" t="s">
        <v>3264</v>
      </c>
      <c r="H535" s="11" t="s">
        <v>61</v>
      </c>
      <c r="I535" s="11">
        <v>752</v>
      </c>
      <c r="J535" s="11" t="s">
        <v>46</v>
      </c>
      <c r="M535" s="11" t="s">
        <v>62</v>
      </c>
      <c r="N535" s="11" t="s">
        <v>48</v>
      </c>
      <c r="O535" s="23">
        <v>4</v>
      </c>
      <c r="P535" s="11">
        <f>ROUNDUP(1550*(1-$F$3),2)</f>
        <v>1550</v>
      </c>
      <c r="Q535" s="11" t="s">
        <v>49</v>
      </c>
      <c r="R535" s="11" t="s">
        <v>3280</v>
      </c>
      <c r="S535" s="11" t="s">
        <v>3281</v>
      </c>
      <c r="T535" s="23">
        <v>10</v>
      </c>
      <c r="U535" s="11">
        <f>ROUNDUP(1409.09*(1-$F$3),2)</f>
        <v>1409.09</v>
      </c>
      <c r="V535" s="11">
        <v>812</v>
      </c>
      <c r="Y535" s="11" t="s">
        <v>3282</v>
      </c>
      <c r="Z535" s="11" t="s">
        <v>53</v>
      </c>
      <c r="AA535" s="15">
        <v>45718</v>
      </c>
      <c r="AB535" s="11" t="s">
        <v>66</v>
      </c>
      <c r="AC535" s="11" t="s">
        <v>77</v>
      </c>
      <c r="AD535" s="11" t="s">
        <v>78</v>
      </c>
      <c r="AE535" s="11" t="s">
        <v>69</v>
      </c>
      <c r="AG535" s="11">
        <v>11641980</v>
      </c>
    </row>
    <row r="536" spans="1:33" s="1" customFormat="1" x14ac:dyDescent="0.25">
      <c r="C536" s="1" t="s">
        <v>3283</v>
      </c>
      <c r="D536" s="1" t="s">
        <v>3262</v>
      </c>
      <c r="E536" s="1" t="s">
        <v>3284</v>
      </c>
      <c r="F536" s="13" t="s">
        <v>6952</v>
      </c>
      <c r="G536" s="1" t="s">
        <v>3285</v>
      </c>
      <c r="H536" s="1" t="s">
        <v>61</v>
      </c>
      <c r="I536" s="1">
        <v>592</v>
      </c>
      <c r="J536" s="1" t="s">
        <v>46</v>
      </c>
      <c r="M536" s="1" t="s">
        <v>47</v>
      </c>
      <c r="N536" s="1" t="s">
        <v>48</v>
      </c>
      <c r="O536" s="9">
        <v>6</v>
      </c>
      <c r="P536" s="1">
        <f>ROUNDUP(1210*(1-$F$3),2)</f>
        <v>1210</v>
      </c>
      <c r="Q536" s="1" t="s">
        <v>49</v>
      </c>
      <c r="R536" s="1" t="s">
        <v>3286</v>
      </c>
      <c r="S536" s="1" t="s">
        <v>3287</v>
      </c>
      <c r="T536" s="9">
        <v>10</v>
      </c>
      <c r="U536" s="1">
        <f>ROUNDUP(1100*(1-$F$3),2)</f>
        <v>1100</v>
      </c>
      <c r="V536" s="1">
        <v>644</v>
      </c>
      <c r="Y536" s="1" t="s">
        <v>3288</v>
      </c>
      <c r="Z536" s="1" t="s">
        <v>53</v>
      </c>
      <c r="AA536" s="12">
        <v>45733</v>
      </c>
      <c r="AB536" s="1" t="s">
        <v>66</v>
      </c>
      <c r="AC536" s="1" t="s">
        <v>104</v>
      </c>
      <c r="AD536" s="1" t="s">
        <v>105</v>
      </c>
      <c r="AE536" s="1" t="s">
        <v>69</v>
      </c>
      <c r="AG536" s="1">
        <v>11650520</v>
      </c>
    </row>
    <row r="537" spans="1:33" s="1" customFormat="1" x14ac:dyDescent="0.25">
      <c r="C537" s="1" t="s">
        <v>3289</v>
      </c>
      <c r="D537" s="1" t="s">
        <v>3262</v>
      </c>
      <c r="E537" s="1" t="s">
        <v>3290</v>
      </c>
      <c r="F537" s="13" t="s">
        <v>6952</v>
      </c>
      <c r="G537" s="1" t="s">
        <v>3264</v>
      </c>
      <c r="H537" s="1" t="s">
        <v>61</v>
      </c>
      <c r="I537" s="1">
        <v>416</v>
      </c>
      <c r="J537" s="1" t="s">
        <v>46</v>
      </c>
      <c r="M537" s="1" t="s">
        <v>62</v>
      </c>
      <c r="N537" s="1" t="s">
        <v>48</v>
      </c>
      <c r="O537" s="9">
        <v>8</v>
      </c>
      <c r="P537" s="1">
        <f>ROUNDUP(1390*(1-$F$3),2)</f>
        <v>1390</v>
      </c>
      <c r="Q537" s="1" t="s">
        <v>49</v>
      </c>
      <c r="R537" s="1" t="s">
        <v>3291</v>
      </c>
      <c r="S537" s="1" t="s">
        <v>3292</v>
      </c>
      <c r="T537" s="9">
        <v>10</v>
      </c>
      <c r="U537" s="1">
        <f>ROUNDUP(1263.64*(1-$F$3),2)</f>
        <v>1263.6400000000001</v>
      </c>
      <c r="V537" s="1">
        <v>497</v>
      </c>
      <c r="Y537" s="1" t="s">
        <v>3293</v>
      </c>
      <c r="Z537" s="1" t="s">
        <v>53</v>
      </c>
      <c r="AA537" s="12">
        <v>45215</v>
      </c>
      <c r="AB537" s="1" t="s">
        <v>234</v>
      </c>
      <c r="AC537" s="1" t="s">
        <v>235</v>
      </c>
      <c r="AD537" s="1" t="s">
        <v>236</v>
      </c>
      <c r="AE537" s="1" t="s">
        <v>69</v>
      </c>
      <c r="AG537" s="1">
        <v>11066380</v>
      </c>
    </row>
    <row r="538" spans="1:33" s="1" customFormat="1" x14ac:dyDescent="0.25">
      <c r="C538" s="1" t="s">
        <v>3294</v>
      </c>
      <c r="D538" s="1" t="s">
        <v>3295</v>
      </c>
      <c r="E538" s="1" t="s">
        <v>3296</v>
      </c>
      <c r="F538" s="13" t="s">
        <v>6952</v>
      </c>
      <c r="G538" s="1" t="s">
        <v>3297</v>
      </c>
      <c r="H538" s="1" t="s">
        <v>61</v>
      </c>
      <c r="I538" s="1">
        <v>256</v>
      </c>
      <c r="J538" s="1" t="s">
        <v>46</v>
      </c>
      <c r="M538" s="1" t="s">
        <v>3298</v>
      </c>
      <c r="N538" s="1" t="s">
        <v>48</v>
      </c>
      <c r="O538" s="9">
        <v>16</v>
      </c>
      <c r="P538" s="1">
        <f>ROUNDUP(1023.9*(1-$F$3),2)</f>
        <v>1023.9</v>
      </c>
      <c r="Q538" s="1" t="s">
        <v>49</v>
      </c>
      <c r="R538" s="1" t="s">
        <v>3299</v>
      </c>
      <c r="S538" s="1" t="s">
        <v>3300</v>
      </c>
      <c r="T538" s="9">
        <v>10</v>
      </c>
      <c r="U538" s="1">
        <f>ROUNDUP(930.82*(1-$F$3),2)</f>
        <v>930.82</v>
      </c>
      <c r="V538" s="1">
        <v>377</v>
      </c>
      <c r="W538" s="1" t="s">
        <v>2313</v>
      </c>
      <c r="X538" s="1" t="s">
        <v>2314</v>
      </c>
      <c r="Y538" s="1" t="s">
        <v>3301</v>
      </c>
      <c r="Z538" s="1" t="s">
        <v>53</v>
      </c>
      <c r="AA538" s="12">
        <v>42065</v>
      </c>
      <c r="AB538" s="1" t="s">
        <v>66</v>
      </c>
      <c r="AC538" s="1" t="s">
        <v>143</v>
      </c>
      <c r="AD538" s="1" t="s">
        <v>847</v>
      </c>
      <c r="AE538" s="1" t="s">
        <v>49</v>
      </c>
      <c r="AG538" s="1">
        <v>6727220</v>
      </c>
    </row>
    <row r="539" spans="1:33" s="1" customFormat="1" x14ac:dyDescent="0.25">
      <c r="C539" s="1" t="s">
        <v>3302</v>
      </c>
      <c r="D539" s="1" t="s">
        <v>3303</v>
      </c>
      <c r="E539" s="1" t="s">
        <v>3304</v>
      </c>
      <c r="F539" s="13" t="s">
        <v>6952</v>
      </c>
      <c r="G539" s="1" t="s">
        <v>405</v>
      </c>
      <c r="H539" s="1" t="s">
        <v>160</v>
      </c>
      <c r="I539" s="1">
        <v>304</v>
      </c>
      <c r="J539" s="1" t="s">
        <v>46</v>
      </c>
      <c r="K539" s="1" t="s">
        <v>261</v>
      </c>
      <c r="M539" s="1" t="s">
        <v>62</v>
      </c>
      <c r="N539" s="1" t="s">
        <v>48</v>
      </c>
      <c r="O539" s="9">
        <v>10</v>
      </c>
      <c r="P539" s="1">
        <f>ROUNDUP(990*(1-$F$3),2)</f>
        <v>990</v>
      </c>
      <c r="Q539" s="1" t="s">
        <v>49</v>
      </c>
      <c r="R539" s="1" t="s">
        <v>3305</v>
      </c>
      <c r="S539" s="1" t="s">
        <v>3306</v>
      </c>
      <c r="T539" s="9">
        <v>10</v>
      </c>
      <c r="U539" s="1">
        <f>ROUNDUP(900*(1-$F$3),2)</f>
        <v>900</v>
      </c>
      <c r="V539" s="1">
        <v>283</v>
      </c>
      <c r="Y539" s="1" t="s">
        <v>3307</v>
      </c>
      <c r="Z539" s="1" t="s">
        <v>711</v>
      </c>
      <c r="AA539" s="12">
        <v>44640</v>
      </c>
      <c r="AB539" s="1" t="s">
        <v>573</v>
      </c>
      <c r="AC539" s="1" t="s">
        <v>66</v>
      </c>
      <c r="AD539" s="1" t="s">
        <v>2738</v>
      </c>
      <c r="AE539" s="1" t="s">
        <v>69</v>
      </c>
      <c r="AG539" s="1">
        <v>10239750</v>
      </c>
    </row>
    <row r="540" spans="1:33" s="1" customFormat="1" x14ac:dyDescent="0.25">
      <c r="C540" s="1" t="s">
        <v>3308</v>
      </c>
      <c r="D540" s="1" t="s">
        <v>3309</v>
      </c>
      <c r="E540" s="1" t="s">
        <v>943</v>
      </c>
      <c r="F540" s="13" t="s">
        <v>6952</v>
      </c>
      <c r="G540" s="1" t="s">
        <v>944</v>
      </c>
      <c r="H540" s="1" t="s">
        <v>61</v>
      </c>
      <c r="I540" s="1">
        <v>384</v>
      </c>
      <c r="J540" s="1" t="s">
        <v>46</v>
      </c>
      <c r="M540" s="1" t="s">
        <v>835</v>
      </c>
      <c r="N540" s="1" t="s">
        <v>48</v>
      </c>
      <c r="O540" s="9">
        <v>8</v>
      </c>
      <c r="P540" s="1">
        <f>ROUNDUP(1160*(1-$F$3),2)</f>
        <v>1160</v>
      </c>
      <c r="Q540" s="1" t="s">
        <v>49</v>
      </c>
      <c r="R540" s="1" t="s">
        <v>3310</v>
      </c>
      <c r="S540" s="1" t="s">
        <v>3311</v>
      </c>
      <c r="T540" s="9">
        <v>10</v>
      </c>
      <c r="U540" s="1">
        <f>ROUNDUP(1054.55*(1-$F$3),2)</f>
        <v>1054.55</v>
      </c>
      <c r="V540" s="1">
        <v>565</v>
      </c>
      <c r="Y540" s="1" t="s">
        <v>947</v>
      </c>
      <c r="Z540" s="1" t="s">
        <v>53</v>
      </c>
      <c r="AA540" s="12">
        <v>44111</v>
      </c>
      <c r="AB540" s="1" t="s">
        <v>66</v>
      </c>
      <c r="AC540" s="1" t="s">
        <v>143</v>
      </c>
      <c r="AD540" s="1" t="s">
        <v>847</v>
      </c>
      <c r="AE540" s="1" t="s">
        <v>69</v>
      </c>
      <c r="AG540" s="1">
        <v>9514810</v>
      </c>
    </row>
    <row r="541" spans="1:33" s="1" customFormat="1" x14ac:dyDescent="0.25">
      <c r="C541" s="1" t="s">
        <v>3312</v>
      </c>
      <c r="D541" s="1" t="s">
        <v>3313</v>
      </c>
      <c r="E541" s="1" t="s">
        <v>1738</v>
      </c>
      <c r="F541" s="13" t="s">
        <v>6952</v>
      </c>
      <c r="G541" s="1" t="s">
        <v>888</v>
      </c>
      <c r="H541" s="1" t="s">
        <v>160</v>
      </c>
      <c r="I541" s="1">
        <v>768</v>
      </c>
      <c r="J541" s="1" t="s">
        <v>46</v>
      </c>
      <c r="M541" s="1" t="s">
        <v>62</v>
      </c>
      <c r="N541" s="1" t="s">
        <v>48</v>
      </c>
      <c r="O541" s="9">
        <v>6</v>
      </c>
      <c r="P541" s="1">
        <f>ROUNDUP(1160*(1-$F$3),2)</f>
        <v>1160</v>
      </c>
      <c r="Q541" s="1" t="s">
        <v>49</v>
      </c>
      <c r="R541" s="1" t="s">
        <v>3314</v>
      </c>
      <c r="S541" s="1" t="s">
        <v>3315</v>
      </c>
      <c r="T541" s="9">
        <v>10</v>
      </c>
      <c r="U541" s="1">
        <f>ROUNDUP(1054.55*(1-$F$3),2)</f>
        <v>1054.55</v>
      </c>
      <c r="V541" s="1">
        <v>551</v>
      </c>
      <c r="Y541" s="1" t="s">
        <v>1741</v>
      </c>
      <c r="Z541" s="1" t="s">
        <v>53</v>
      </c>
      <c r="AA541" s="12">
        <v>43190</v>
      </c>
      <c r="AB541" s="1" t="s">
        <v>334</v>
      </c>
      <c r="AC541" s="1" t="s">
        <v>892</v>
      </c>
      <c r="AD541" s="1" t="s">
        <v>893</v>
      </c>
      <c r="AE541" s="1" t="s">
        <v>878</v>
      </c>
      <c r="AG541" s="1">
        <v>8558720</v>
      </c>
    </row>
    <row r="542" spans="1:33" s="1" customFormat="1" x14ac:dyDescent="0.25">
      <c r="C542" s="1" t="s">
        <v>3316</v>
      </c>
      <c r="D542" s="1" t="s">
        <v>3313</v>
      </c>
      <c r="E542" s="1" t="s">
        <v>3317</v>
      </c>
      <c r="F542" s="13" t="s">
        <v>6952</v>
      </c>
      <c r="G542" s="1" t="s">
        <v>1747</v>
      </c>
      <c r="H542" s="1" t="s">
        <v>160</v>
      </c>
      <c r="I542" s="1">
        <v>464</v>
      </c>
      <c r="J542" s="1" t="s">
        <v>46</v>
      </c>
      <c r="M542" s="1" t="s">
        <v>47</v>
      </c>
      <c r="N542" s="1" t="s">
        <v>48</v>
      </c>
      <c r="O542" s="9">
        <v>10</v>
      </c>
      <c r="P542" s="1">
        <f>ROUNDUP(1000*(1-$F$3),2)</f>
        <v>1000</v>
      </c>
      <c r="Q542" s="1" t="s">
        <v>49</v>
      </c>
      <c r="R542" s="1" t="s">
        <v>3318</v>
      </c>
      <c r="S542" s="1" t="s">
        <v>3319</v>
      </c>
      <c r="T542" s="9">
        <v>10</v>
      </c>
      <c r="U542" s="1">
        <f>ROUNDUP(909.09*(1-$F$3),2)</f>
        <v>909.09</v>
      </c>
      <c r="V542" s="1">
        <v>364</v>
      </c>
      <c r="Y542" s="1" t="s">
        <v>3320</v>
      </c>
      <c r="Z542" s="1" t="s">
        <v>53</v>
      </c>
      <c r="AA542" s="12">
        <v>44448</v>
      </c>
      <c r="AB542" s="1" t="s">
        <v>86</v>
      </c>
      <c r="AC542" s="1" t="s">
        <v>87</v>
      </c>
      <c r="AD542" s="1" t="s">
        <v>1751</v>
      </c>
      <c r="AE542" s="1" t="s">
        <v>69</v>
      </c>
      <c r="AG542" s="1">
        <v>9801180</v>
      </c>
    </row>
    <row r="543" spans="1:33" s="1" customFormat="1" x14ac:dyDescent="0.25">
      <c r="C543" s="1" t="s">
        <v>3321</v>
      </c>
      <c r="D543" s="1" t="s">
        <v>3313</v>
      </c>
      <c r="E543" s="1" t="s">
        <v>3322</v>
      </c>
      <c r="F543" s="13" t="s">
        <v>6952</v>
      </c>
      <c r="G543" s="1" t="s">
        <v>3323</v>
      </c>
      <c r="H543" s="1" t="s">
        <v>160</v>
      </c>
      <c r="I543" s="1">
        <v>624</v>
      </c>
      <c r="J543" s="1" t="s">
        <v>46</v>
      </c>
      <c r="M543" s="1" t="s">
        <v>47</v>
      </c>
      <c r="N543" s="1" t="s">
        <v>48</v>
      </c>
      <c r="O543" s="9">
        <v>10</v>
      </c>
      <c r="P543" s="1">
        <f>ROUNDUP(1260*(1-$F$3),2)</f>
        <v>1260</v>
      </c>
      <c r="Q543" s="1" t="s">
        <v>49</v>
      </c>
      <c r="R543" s="1" t="s">
        <v>3324</v>
      </c>
      <c r="S543" s="1" t="s">
        <v>3325</v>
      </c>
      <c r="T543" s="9">
        <v>10</v>
      </c>
      <c r="U543" s="1">
        <f>ROUNDUP(1145.45*(1-$F$3),2)</f>
        <v>1145.45</v>
      </c>
      <c r="V543" s="1">
        <v>472</v>
      </c>
      <c r="Y543" s="1" t="s">
        <v>3326</v>
      </c>
      <c r="Z543" s="1" t="s">
        <v>128</v>
      </c>
      <c r="AA543" s="12">
        <v>43521</v>
      </c>
      <c r="AB543" s="1" t="s">
        <v>95</v>
      </c>
      <c r="AC543" s="1" t="s">
        <v>96</v>
      </c>
      <c r="AD543" s="1" t="s">
        <v>1286</v>
      </c>
      <c r="AE543" s="1" t="s">
        <v>69</v>
      </c>
      <c r="AG543" s="1">
        <v>8943040</v>
      </c>
    </row>
    <row r="544" spans="1:33" s="1" customFormat="1" x14ac:dyDescent="0.25">
      <c r="C544" s="1" t="s">
        <v>3327</v>
      </c>
      <c r="D544" s="1" t="s">
        <v>3328</v>
      </c>
      <c r="E544" s="1" t="s">
        <v>1239</v>
      </c>
      <c r="F544" s="13" t="s">
        <v>6952</v>
      </c>
      <c r="G544" s="1" t="s">
        <v>888</v>
      </c>
      <c r="H544" s="1" t="s">
        <v>160</v>
      </c>
      <c r="I544" s="1">
        <v>800</v>
      </c>
      <c r="J544" s="1" t="s">
        <v>46</v>
      </c>
      <c r="M544" s="1" t="s">
        <v>62</v>
      </c>
      <c r="N544" s="1" t="s">
        <v>48</v>
      </c>
      <c r="O544" s="9">
        <v>6</v>
      </c>
      <c r="P544" s="1">
        <f>ROUNDUP(1199*(1-$F$3),2)</f>
        <v>1199</v>
      </c>
      <c r="Q544" s="1" t="s">
        <v>49</v>
      </c>
      <c r="R544" s="1" t="s">
        <v>3329</v>
      </c>
      <c r="S544" s="1" t="s">
        <v>3330</v>
      </c>
      <c r="T544" s="9">
        <v>10</v>
      </c>
      <c r="U544" s="1">
        <f>ROUNDUP(1090*(1-$F$3),2)</f>
        <v>1090</v>
      </c>
      <c r="V544" s="1">
        <v>553</v>
      </c>
      <c r="Y544" s="1" t="s">
        <v>1243</v>
      </c>
      <c r="Z544" s="1" t="s">
        <v>53</v>
      </c>
      <c r="AA544" s="12">
        <v>43864</v>
      </c>
      <c r="AB544" s="1" t="s">
        <v>95</v>
      </c>
      <c r="AC544" s="1" t="s">
        <v>112</v>
      </c>
      <c r="AD544" s="1" t="s">
        <v>839</v>
      </c>
      <c r="AE544" s="1" t="s">
        <v>69</v>
      </c>
      <c r="AG544" s="1">
        <v>9258140</v>
      </c>
    </row>
    <row r="545" spans="3:33" s="1" customFormat="1" x14ac:dyDescent="0.25">
      <c r="C545" s="1" t="s">
        <v>3331</v>
      </c>
      <c r="D545" s="1" t="s">
        <v>3328</v>
      </c>
      <c r="E545" s="1" t="s">
        <v>1245</v>
      </c>
      <c r="F545" s="13" t="s">
        <v>6952</v>
      </c>
      <c r="G545" s="1" t="s">
        <v>888</v>
      </c>
      <c r="H545" s="1" t="s">
        <v>160</v>
      </c>
      <c r="I545" s="1">
        <v>912</v>
      </c>
      <c r="J545" s="1" t="s">
        <v>46</v>
      </c>
      <c r="M545" s="1" t="s">
        <v>62</v>
      </c>
      <c r="N545" s="1" t="s">
        <v>48</v>
      </c>
      <c r="O545" s="9">
        <v>6</v>
      </c>
      <c r="P545" s="1">
        <f>ROUNDUP(1290*(1-$F$3),2)</f>
        <v>1290</v>
      </c>
      <c r="Q545" s="1" t="s">
        <v>49</v>
      </c>
      <c r="R545" s="1" t="s">
        <v>3332</v>
      </c>
      <c r="S545" s="1" t="s">
        <v>3333</v>
      </c>
      <c r="T545" s="9">
        <v>10</v>
      </c>
      <c r="U545" s="1">
        <f>ROUNDUP(1172.73*(1-$F$3),2)</f>
        <v>1172.73</v>
      </c>
      <c r="V545" s="1">
        <v>623</v>
      </c>
      <c r="Y545" s="1" t="s">
        <v>1248</v>
      </c>
      <c r="Z545" s="1" t="s">
        <v>53</v>
      </c>
      <c r="AA545" s="12">
        <v>43864</v>
      </c>
      <c r="AB545" s="1" t="s">
        <v>95</v>
      </c>
      <c r="AC545" s="1" t="s">
        <v>112</v>
      </c>
      <c r="AD545" s="1" t="s">
        <v>839</v>
      </c>
      <c r="AE545" s="1" t="s">
        <v>69</v>
      </c>
      <c r="AG545" s="1">
        <v>9258180</v>
      </c>
    </row>
    <row r="546" spans="3:33" s="1" customFormat="1" x14ac:dyDescent="0.25">
      <c r="C546" s="1" t="s">
        <v>3334</v>
      </c>
      <c r="D546" s="1" t="s">
        <v>3328</v>
      </c>
      <c r="E546" s="1" t="s">
        <v>1738</v>
      </c>
      <c r="F546" s="13" t="s">
        <v>6952</v>
      </c>
      <c r="G546" s="1" t="s">
        <v>888</v>
      </c>
      <c r="H546" s="1" t="s">
        <v>160</v>
      </c>
      <c r="I546" s="1">
        <v>768</v>
      </c>
      <c r="J546" s="1" t="s">
        <v>46</v>
      </c>
      <c r="M546" s="1" t="s">
        <v>62</v>
      </c>
      <c r="N546" s="1" t="s">
        <v>48</v>
      </c>
      <c r="O546" s="9">
        <v>6</v>
      </c>
      <c r="P546" s="1">
        <f>ROUNDUP(1420*(1-$F$3),2)</f>
        <v>1420</v>
      </c>
      <c r="Q546" s="1" t="s">
        <v>49</v>
      </c>
      <c r="R546" s="1" t="s">
        <v>3335</v>
      </c>
      <c r="S546" s="1" t="s">
        <v>3336</v>
      </c>
      <c r="T546" s="9">
        <v>10</v>
      </c>
      <c r="U546" s="1">
        <f>ROUNDUP(1290.91*(1-$F$3),2)</f>
        <v>1290.9100000000001</v>
      </c>
      <c r="V546" s="1">
        <v>515</v>
      </c>
      <c r="Y546" s="1" t="s">
        <v>1741</v>
      </c>
      <c r="Z546" s="1" t="s">
        <v>53</v>
      </c>
      <c r="AA546" s="12">
        <v>43893</v>
      </c>
      <c r="AB546" s="1" t="s">
        <v>334</v>
      </c>
      <c r="AC546" s="1" t="s">
        <v>892</v>
      </c>
      <c r="AD546" s="1" t="s">
        <v>893</v>
      </c>
      <c r="AE546" s="1" t="s">
        <v>49</v>
      </c>
      <c r="AG546" s="1">
        <v>9258090</v>
      </c>
    </row>
    <row r="547" spans="3:33" s="1" customFormat="1" x14ac:dyDescent="0.25">
      <c r="C547" s="1" t="s">
        <v>3337</v>
      </c>
      <c r="D547" s="1" t="s">
        <v>3338</v>
      </c>
      <c r="E547" s="1" t="s">
        <v>3339</v>
      </c>
      <c r="F547" s="13" t="s">
        <v>6952</v>
      </c>
      <c r="H547" s="1" t="s">
        <v>160</v>
      </c>
      <c r="I547" s="1">
        <v>224</v>
      </c>
      <c r="J547" s="1" t="s">
        <v>46</v>
      </c>
      <c r="M547" s="1" t="s">
        <v>176</v>
      </c>
      <c r="N547" s="1" t="s">
        <v>48</v>
      </c>
      <c r="O547" s="9">
        <v>14</v>
      </c>
      <c r="P547" s="1">
        <f>ROUNDUP(1170*(1-$F$3),2)</f>
        <v>1170</v>
      </c>
      <c r="Q547" s="1" t="s">
        <v>49</v>
      </c>
      <c r="R547" s="1" t="s">
        <v>3340</v>
      </c>
      <c r="S547" s="1" t="s">
        <v>3341</v>
      </c>
      <c r="T547" s="9">
        <v>10</v>
      </c>
      <c r="U547" s="1">
        <f>ROUNDUP(1063.64*(1-$F$3),2)</f>
        <v>1063.6400000000001</v>
      </c>
      <c r="V547" s="1">
        <v>322</v>
      </c>
      <c r="Y547" s="1" t="s">
        <v>3342</v>
      </c>
      <c r="Z547" s="1" t="s">
        <v>53</v>
      </c>
      <c r="AA547" s="12">
        <v>42765</v>
      </c>
      <c r="AB547" s="1" t="s">
        <v>334</v>
      </c>
      <c r="AC547" s="1" t="s">
        <v>335</v>
      </c>
      <c r="AD547" s="1" t="s">
        <v>1398</v>
      </c>
      <c r="AE547" s="1" t="s">
        <v>69</v>
      </c>
      <c r="AG547" s="1">
        <v>8016770</v>
      </c>
    </row>
    <row r="548" spans="3:33" s="1" customFormat="1" x14ac:dyDescent="0.25">
      <c r="C548" s="1" t="s">
        <v>3343</v>
      </c>
      <c r="D548" s="1" t="s">
        <v>3344</v>
      </c>
      <c r="E548" s="1" t="s">
        <v>3345</v>
      </c>
      <c r="F548" s="13" t="s">
        <v>6952</v>
      </c>
      <c r="G548" s="1" t="s">
        <v>3346</v>
      </c>
      <c r="H548" s="1" t="s">
        <v>82</v>
      </c>
      <c r="I548" s="1">
        <v>1080</v>
      </c>
      <c r="J548" s="1" t="s">
        <v>46</v>
      </c>
      <c r="M548" s="1" t="s">
        <v>176</v>
      </c>
      <c r="N548" s="1" t="s">
        <v>48</v>
      </c>
      <c r="O548" s="9">
        <v>2</v>
      </c>
      <c r="P548" s="1">
        <f>ROUNDUP(5300*(1-$F$3),2)</f>
        <v>5300</v>
      </c>
      <c r="Q548" s="1" t="s">
        <v>49</v>
      </c>
      <c r="R548" s="1" t="s">
        <v>3347</v>
      </c>
      <c r="S548" s="1" t="s">
        <v>3348</v>
      </c>
      <c r="T548" s="9">
        <v>10</v>
      </c>
      <c r="U548" s="1">
        <f>ROUNDUP(4818.18*(1-$F$3),2)</f>
        <v>4818.18</v>
      </c>
      <c r="V548" s="1">
        <v>2567</v>
      </c>
      <c r="Y548" s="1" t="s">
        <v>3349</v>
      </c>
      <c r="Z548" s="1" t="s">
        <v>128</v>
      </c>
      <c r="AA548" s="12">
        <v>45429</v>
      </c>
      <c r="AB548" s="1" t="s">
        <v>66</v>
      </c>
      <c r="AC548" s="1" t="s">
        <v>77</v>
      </c>
      <c r="AD548" s="1" t="s">
        <v>1360</v>
      </c>
      <c r="AE548" s="1" t="s">
        <v>69</v>
      </c>
      <c r="AG548" s="1">
        <v>11258310</v>
      </c>
    </row>
    <row r="549" spans="3:33" s="1" customFormat="1" x14ac:dyDescent="0.25">
      <c r="C549" s="1" t="s">
        <v>3350</v>
      </c>
      <c r="D549" s="1" t="s">
        <v>3344</v>
      </c>
      <c r="E549" s="1" t="s">
        <v>3351</v>
      </c>
      <c r="F549" s="13" t="s">
        <v>6952</v>
      </c>
      <c r="G549" s="1" t="s">
        <v>383</v>
      </c>
      <c r="H549" s="1" t="s">
        <v>82</v>
      </c>
      <c r="I549" s="1">
        <v>352</v>
      </c>
      <c r="J549" s="1" t="s">
        <v>46</v>
      </c>
      <c r="M549" s="1" t="s">
        <v>176</v>
      </c>
      <c r="N549" s="1" t="s">
        <v>48</v>
      </c>
      <c r="O549" s="9">
        <v>5</v>
      </c>
      <c r="P549" s="1">
        <f>ROUNDUP(2240*(1-$F$3),2)</f>
        <v>2240</v>
      </c>
      <c r="Q549" s="1" t="s">
        <v>49</v>
      </c>
      <c r="R549" s="1" t="s">
        <v>3352</v>
      </c>
      <c r="S549" s="1" t="s">
        <v>3353</v>
      </c>
      <c r="T549" s="9">
        <v>10</v>
      </c>
      <c r="U549" s="1">
        <f>ROUNDUP(2036.36*(1-$F$3),2)</f>
        <v>2036.36</v>
      </c>
      <c r="V549" s="1">
        <v>894</v>
      </c>
      <c r="Y549" s="1" t="s">
        <v>3354</v>
      </c>
      <c r="Z549" s="1" t="s">
        <v>128</v>
      </c>
      <c r="AA549" s="12">
        <v>45020</v>
      </c>
      <c r="AB549" s="1" t="s">
        <v>66</v>
      </c>
      <c r="AC549" s="1" t="s">
        <v>77</v>
      </c>
      <c r="AD549" s="1" t="s">
        <v>1360</v>
      </c>
      <c r="AE549" s="1" t="s">
        <v>69</v>
      </c>
      <c r="AG549" s="1">
        <v>10806940</v>
      </c>
    </row>
    <row r="550" spans="3:33" s="1" customFormat="1" x14ac:dyDescent="0.25">
      <c r="C550" s="1" t="s">
        <v>3355</v>
      </c>
      <c r="D550" s="1" t="s">
        <v>3344</v>
      </c>
      <c r="E550" s="1" t="s">
        <v>3356</v>
      </c>
      <c r="F550" s="13" t="s">
        <v>6952</v>
      </c>
      <c r="G550" s="1" t="s">
        <v>3357</v>
      </c>
      <c r="H550" s="1" t="s">
        <v>3358</v>
      </c>
      <c r="I550" s="1">
        <v>32</v>
      </c>
      <c r="J550" s="1" t="s">
        <v>46</v>
      </c>
      <c r="M550" s="1" t="s">
        <v>835</v>
      </c>
      <c r="N550" s="1" t="s">
        <v>48</v>
      </c>
      <c r="O550" s="9">
        <v>20</v>
      </c>
      <c r="P550" s="1">
        <f>ROUNDUP(770*(1-$F$3),2)</f>
        <v>770</v>
      </c>
      <c r="Q550" s="1" t="s">
        <v>49</v>
      </c>
      <c r="R550" s="1" t="s">
        <v>3359</v>
      </c>
      <c r="S550" s="1" t="s">
        <v>3360</v>
      </c>
      <c r="T550" s="9">
        <v>10</v>
      </c>
      <c r="U550" s="1">
        <f>ROUNDUP(700*(1-$F$3),2)</f>
        <v>700</v>
      </c>
      <c r="V550" s="1">
        <v>561</v>
      </c>
      <c r="Y550" s="1" t="s">
        <v>3361</v>
      </c>
      <c r="Z550" s="1" t="s">
        <v>128</v>
      </c>
      <c r="AA550" s="12">
        <v>44165</v>
      </c>
      <c r="AB550" s="1" t="s">
        <v>573</v>
      </c>
      <c r="AC550" s="1" t="s">
        <v>66</v>
      </c>
      <c r="AD550" s="1" t="s">
        <v>712</v>
      </c>
      <c r="AE550" s="1" t="s">
        <v>57</v>
      </c>
      <c r="AG550" s="1">
        <v>9536820</v>
      </c>
    </row>
    <row r="551" spans="3:33" s="1" customFormat="1" x14ac:dyDescent="0.25">
      <c r="C551" s="1" t="s">
        <v>3362</v>
      </c>
      <c r="D551" s="1" t="s">
        <v>3344</v>
      </c>
      <c r="E551" s="1" t="s">
        <v>3363</v>
      </c>
      <c r="F551" s="13" t="s">
        <v>6952</v>
      </c>
      <c r="G551" s="1" t="s">
        <v>3364</v>
      </c>
      <c r="H551" s="1" t="s">
        <v>82</v>
      </c>
      <c r="I551" s="1">
        <v>416</v>
      </c>
      <c r="J551" s="1" t="s">
        <v>46</v>
      </c>
      <c r="M551" s="1" t="s">
        <v>47</v>
      </c>
      <c r="N551" s="1" t="s">
        <v>48</v>
      </c>
      <c r="O551" s="9">
        <v>4</v>
      </c>
      <c r="P551" s="1">
        <f>ROUNDUP(2710*(1-$F$3),2)</f>
        <v>2710</v>
      </c>
      <c r="Q551" s="1" t="s">
        <v>49</v>
      </c>
      <c r="R551" s="1" t="s">
        <v>3365</v>
      </c>
      <c r="S551" s="1" t="s">
        <v>3366</v>
      </c>
      <c r="T551" s="9">
        <v>10</v>
      </c>
      <c r="U551" s="1">
        <f>ROUNDUP(2463.64*(1-$F$3),2)</f>
        <v>2463.64</v>
      </c>
      <c r="V551" s="1">
        <v>1032</v>
      </c>
      <c r="Y551" s="1" t="s">
        <v>3367</v>
      </c>
      <c r="Z551" s="1" t="s">
        <v>128</v>
      </c>
      <c r="AA551" s="12">
        <v>45622</v>
      </c>
      <c r="AB551" s="1" t="s">
        <v>66</v>
      </c>
      <c r="AC551" s="1" t="s">
        <v>77</v>
      </c>
      <c r="AD551" s="1" t="s">
        <v>605</v>
      </c>
      <c r="AE551" s="1" t="s">
        <v>69</v>
      </c>
      <c r="AG551" s="1">
        <v>11506300</v>
      </c>
    </row>
    <row r="552" spans="3:33" s="1" customFormat="1" x14ac:dyDescent="0.25">
      <c r="C552" s="1" t="s">
        <v>3368</v>
      </c>
      <c r="D552" s="1" t="s">
        <v>3344</v>
      </c>
      <c r="E552" s="1" t="s">
        <v>3369</v>
      </c>
      <c r="F552" s="13" t="s">
        <v>6952</v>
      </c>
      <c r="G552" s="1" t="s">
        <v>3370</v>
      </c>
      <c r="H552" s="1" t="s">
        <v>82</v>
      </c>
      <c r="I552" s="1">
        <v>624</v>
      </c>
      <c r="J552" s="1" t="s">
        <v>46</v>
      </c>
      <c r="M552" s="1" t="s">
        <v>176</v>
      </c>
      <c r="N552" s="1" t="s">
        <v>48</v>
      </c>
      <c r="O552" s="9">
        <v>3</v>
      </c>
      <c r="P552" s="1">
        <f>ROUNDUP(4230*(1-$F$3),2)</f>
        <v>4230</v>
      </c>
      <c r="Q552" s="1" t="s">
        <v>49</v>
      </c>
      <c r="R552" s="1" t="s">
        <v>3371</v>
      </c>
      <c r="S552" s="1" t="s">
        <v>3372</v>
      </c>
      <c r="T552" s="9">
        <v>10</v>
      </c>
      <c r="U552" s="1">
        <f>ROUNDUP(3845.45*(1-$F$3),2)</f>
        <v>3845.45</v>
      </c>
      <c r="V552" s="1">
        <v>1499</v>
      </c>
      <c r="Y552" s="1" t="s">
        <v>3373</v>
      </c>
      <c r="Z552" s="1" t="s">
        <v>128</v>
      </c>
      <c r="AA552" s="12">
        <v>44855</v>
      </c>
      <c r="AB552" s="1" t="s">
        <v>66</v>
      </c>
      <c r="AC552" s="1" t="s">
        <v>77</v>
      </c>
      <c r="AD552" s="1" t="s">
        <v>1360</v>
      </c>
      <c r="AE552" s="1" t="s">
        <v>69</v>
      </c>
      <c r="AG552" s="1">
        <v>10541480</v>
      </c>
    </row>
    <row r="553" spans="3:33" s="1" customFormat="1" x14ac:dyDescent="0.25">
      <c r="C553" s="1" t="s">
        <v>3374</v>
      </c>
      <c r="D553" s="1" t="s">
        <v>3344</v>
      </c>
      <c r="E553" s="1" t="s">
        <v>3375</v>
      </c>
      <c r="F553" s="13" t="s">
        <v>6952</v>
      </c>
      <c r="G553" s="1" t="s">
        <v>3364</v>
      </c>
      <c r="H553" s="1" t="s">
        <v>82</v>
      </c>
      <c r="I553" s="1">
        <v>432</v>
      </c>
      <c r="J553" s="1" t="s">
        <v>46</v>
      </c>
      <c r="M553" s="1" t="s">
        <v>47</v>
      </c>
      <c r="N553" s="1" t="s">
        <v>48</v>
      </c>
      <c r="O553" s="9">
        <v>4</v>
      </c>
      <c r="P553" s="1">
        <f>ROUNDUP(2710*(1-$F$3),2)</f>
        <v>2710</v>
      </c>
      <c r="Q553" s="1" t="s">
        <v>49</v>
      </c>
      <c r="R553" s="1" t="s">
        <v>3376</v>
      </c>
      <c r="S553" s="1" t="s">
        <v>3377</v>
      </c>
      <c r="T553" s="9">
        <v>10</v>
      </c>
      <c r="U553" s="1">
        <f>ROUNDUP(2463.64*(1-$F$3),2)</f>
        <v>2463.64</v>
      </c>
      <c r="V553" s="1">
        <v>1061</v>
      </c>
      <c r="Y553" s="1" t="s">
        <v>3378</v>
      </c>
      <c r="Z553" s="1" t="s">
        <v>128</v>
      </c>
      <c r="AA553" s="12">
        <v>45622</v>
      </c>
      <c r="AB553" s="1" t="s">
        <v>66</v>
      </c>
      <c r="AC553" s="1" t="s">
        <v>77</v>
      </c>
      <c r="AD553" s="1" t="s">
        <v>605</v>
      </c>
      <c r="AE553" s="1" t="s">
        <v>69</v>
      </c>
      <c r="AG553" s="1">
        <v>11506370</v>
      </c>
    </row>
    <row r="554" spans="3:33" s="1" customFormat="1" x14ac:dyDescent="0.25">
      <c r="C554" s="1" t="s">
        <v>3379</v>
      </c>
      <c r="D554" s="1" t="s">
        <v>3344</v>
      </c>
      <c r="E554" s="1" t="s">
        <v>3380</v>
      </c>
      <c r="F554" s="13" t="s">
        <v>6952</v>
      </c>
      <c r="G554" s="1" t="s">
        <v>3381</v>
      </c>
      <c r="H554" s="1" t="s">
        <v>3382</v>
      </c>
      <c r="I554" s="1">
        <v>32</v>
      </c>
      <c r="J554" s="1" t="s">
        <v>46</v>
      </c>
      <c r="M554" s="1" t="s">
        <v>835</v>
      </c>
      <c r="N554" s="1" t="s">
        <v>48</v>
      </c>
      <c r="O554" s="9">
        <v>18</v>
      </c>
      <c r="P554" s="1">
        <f>ROUNDUP(650*(1-$F$3),2)</f>
        <v>650</v>
      </c>
      <c r="Q554" s="1" t="s">
        <v>49</v>
      </c>
      <c r="R554" s="1" t="s">
        <v>3383</v>
      </c>
      <c r="S554" s="1" t="s">
        <v>3384</v>
      </c>
      <c r="T554" s="9">
        <v>10</v>
      </c>
      <c r="U554" s="1">
        <f>ROUNDUP(590.91*(1-$F$3),2)</f>
        <v>590.91</v>
      </c>
      <c r="V554" s="1">
        <v>254</v>
      </c>
      <c r="Y554" s="1" t="s">
        <v>3385</v>
      </c>
      <c r="Z554" s="1" t="s">
        <v>53</v>
      </c>
      <c r="AA554" s="12">
        <v>44165</v>
      </c>
      <c r="AB554" s="1" t="s">
        <v>573</v>
      </c>
      <c r="AC554" s="1" t="s">
        <v>66</v>
      </c>
      <c r="AD554" s="1" t="s">
        <v>712</v>
      </c>
      <c r="AE554" s="1" t="s">
        <v>57</v>
      </c>
      <c r="AG554" s="1">
        <v>9537140</v>
      </c>
    </row>
    <row r="555" spans="3:33" s="1" customFormat="1" x14ac:dyDescent="0.25">
      <c r="C555" s="1" t="s">
        <v>3386</v>
      </c>
      <c r="D555" s="1" t="s">
        <v>3344</v>
      </c>
      <c r="E555" s="1" t="s">
        <v>3387</v>
      </c>
      <c r="F555" s="13" t="s">
        <v>6952</v>
      </c>
      <c r="G555" s="1" t="s">
        <v>3388</v>
      </c>
      <c r="H555" s="1" t="s">
        <v>82</v>
      </c>
      <c r="I555" s="1">
        <v>232</v>
      </c>
      <c r="J555" s="1" t="s">
        <v>46</v>
      </c>
      <c r="M555" s="1" t="s">
        <v>62</v>
      </c>
      <c r="N555" s="1" t="s">
        <v>48</v>
      </c>
      <c r="O555" s="9">
        <v>8</v>
      </c>
      <c r="P555" s="1">
        <f>ROUNDUP(2210*(1-$F$3),2)</f>
        <v>2210</v>
      </c>
      <c r="Q555" s="1" t="s">
        <v>49</v>
      </c>
      <c r="R555" s="1" t="s">
        <v>3389</v>
      </c>
      <c r="S555" s="1" t="s">
        <v>3390</v>
      </c>
      <c r="T555" s="9">
        <v>10</v>
      </c>
      <c r="U555" s="1">
        <f>ROUNDUP(2009.09*(1-$F$3),2)</f>
        <v>2009.09</v>
      </c>
      <c r="V555" s="1">
        <v>719</v>
      </c>
      <c r="Y555" s="1" t="s">
        <v>3391</v>
      </c>
      <c r="Z555" s="1" t="s">
        <v>128</v>
      </c>
      <c r="AA555" s="12">
        <v>46013</v>
      </c>
      <c r="AB555" s="1" t="s">
        <v>66</v>
      </c>
      <c r="AC555" s="1" t="s">
        <v>77</v>
      </c>
      <c r="AD555" s="1" t="s">
        <v>1360</v>
      </c>
      <c r="AE555" s="1" t="s">
        <v>57</v>
      </c>
      <c r="AG555" s="1">
        <v>11937120</v>
      </c>
    </row>
    <row r="556" spans="3:33" s="1" customFormat="1" x14ac:dyDescent="0.25">
      <c r="C556" s="1" t="s">
        <v>3392</v>
      </c>
      <c r="D556" s="1" t="s">
        <v>3344</v>
      </c>
      <c r="E556" s="1" t="s">
        <v>3393</v>
      </c>
      <c r="F556" s="13" t="s">
        <v>6952</v>
      </c>
      <c r="G556" s="1" t="s">
        <v>3394</v>
      </c>
      <c r="H556" s="1" t="s">
        <v>82</v>
      </c>
      <c r="I556" s="1">
        <v>320</v>
      </c>
      <c r="J556" s="1" t="s">
        <v>46</v>
      </c>
      <c r="M556" s="1" t="s">
        <v>176</v>
      </c>
      <c r="N556" s="1" t="s">
        <v>48</v>
      </c>
      <c r="O556" s="9">
        <v>6</v>
      </c>
      <c r="P556" s="1">
        <f>ROUNDUP(2270*(1-$F$3),2)</f>
        <v>2270</v>
      </c>
      <c r="Q556" s="1" t="s">
        <v>49</v>
      </c>
      <c r="R556" s="1" t="s">
        <v>3395</v>
      </c>
      <c r="S556" s="1" t="s">
        <v>3396</v>
      </c>
      <c r="T556" s="9">
        <v>10</v>
      </c>
      <c r="U556" s="1">
        <f>ROUNDUP(2063.64*(1-$F$3),2)</f>
        <v>2063.64</v>
      </c>
      <c r="V556" s="1">
        <v>826</v>
      </c>
      <c r="Y556" s="1" t="s">
        <v>3397</v>
      </c>
      <c r="Z556" s="1" t="s">
        <v>128</v>
      </c>
      <c r="AA556" s="12">
        <v>45376</v>
      </c>
      <c r="AB556" s="1" t="s">
        <v>66</v>
      </c>
      <c r="AC556" s="1" t="s">
        <v>143</v>
      </c>
      <c r="AD556" s="1" t="s">
        <v>144</v>
      </c>
      <c r="AE556" s="1" t="s">
        <v>69</v>
      </c>
      <c r="AG556" s="1">
        <v>11260900</v>
      </c>
    </row>
    <row r="557" spans="3:33" s="1" customFormat="1" x14ac:dyDescent="0.25">
      <c r="C557" s="1" t="s">
        <v>3398</v>
      </c>
      <c r="D557" s="1" t="s">
        <v>3344</v>
      </c>
      <c r="E557" s="1" t="s">
        <v>3399</v>
      </c>
      <c r="F557" s="13" t="s">
        <v>6952</v>
      </c>
      <c r="G557" s="1" t="s">
        <v>383</v>
      </c>
      <c r="H557" s="1" t="s">
        <v>82</v>
      </c>
      <c r="I557" s="1">
        <v>280</v>
      </c>
      <c r="J557" s="1" t="s">
        <v>46</v>
      </c>
      <c r="M557" s="1" t="s">
        <v>176</v>
      </c>
      <c r="N557" s="1" t="s">
        <v>48</v>
      </c>
      <c r="O557" s="9">
        <v>6</v>
      </c>
      <c r="P557" s="1">
        <f>ROUNDUP(2270*(1-$F$3),2)</f>
        <v>2270</v>
      </c>
      <c r="Q557" s="1" t="s">
        <v>49</v>
      </c>
      <c r="R557" s="1" t="s">
        <v>3400</v>
      </c>
      <c r="S557" s="1" t="s">
        <v>3401</v>
      </c>
      <c r="T557" s="9">
        <v>10</v>
      </c>
      <c r="U557" s="1">
        <f>ROUNDUP(2063.64*(1-$F$3),2)</f>
        <v>2063.64</v>
      </c>
      <c r="V557" s="1">
        <v>758</v>
      </c>
      <c r="Y557" s="1" t="s">
        <v>3402</v>
      </c>
      <c r="Z557" s="1" t="s">
        <v>128</v>
      </c>
      <c r="AA557" s="12">
        <v>45412</v>
      </c>
      <c r="AB557" s="1" t="s">
        <v>66</v>
      </c>
      <c r="AC557" s="1" t="s">
        <v>77</v>
      </c>
      <c r="AD557" s="1" t="s">
        <v>1360</v>
      </c>
      <c r="AE557" s="1" t="s">
        <v>69</v>
      </c>
      <c r="AG557" s="1">
        <v>11267820</v>
      </c>
    </row>
    <row r="558" spans="3:33" s="1" customFormat="1" x14ac:dyDescent="0.25">
      <c r="C558" s="1" t="s">
        <v>3403</v>
      </c>
      <c r="D558" s="1" t="s">
        <v>3344</v>
      </c>
      <c r="E558" s="1" t="s">
        <v>3404</v>
      </c>
      <c r="F558" s="13" t="s">
        <v>6952</v>
      </c>
      <c r="G558" s="1" t="s">
        <v>3405</v>
      </c>
      <c r="H558" s="1" t="s">
        <v>724</v>
      </c>
      <c r="I558" s="1">
        <v>184</v>
      </c>
      <c r="J558" s="1" t="s">
        <v>46</v>
      </c>
      <c r="M558" s="1" t="s">
        <v>161</v>
      </c>
      <c r="N558" s="1" t="s">
        <v>48</v>
      </c>
      <c r="O558" s="9">
        <v>8</v>
      </c>
      <c r="P558" s="1">
        <f>ROUNDUP(1820*(1-$F$3),2)</f>
        <v>1820</v>
      </c>
      <c r="Q558" s="1" t="s">
        <v>49</v>
      </c>
      <c r="R558" s="1" t="s">
        <v>3406</v>
      </c>
      <c r="S558" s="1" t="s">
        <v>3407</v>
      </c>
      <c r="T558" s="9">
        <v>10</v>
      </c>
      <c r="U558" s="1">
        <f>ROUNDUP(1654.55*(1-$F$3),2)</f>
        <v>1654.55</v>
      </c>
      <c r="V558" s="1">
        <v>698</v>
      </c>
      <c r="Y558" s="1" t="s">
        <v>3408</v>
      </c>
      <c r="Z558" s="1" t="s">
        <v>53</v>
      </c>
      <c r="AA558" s="12">
        <v>44987</v>
      </c>
      <c r="AB558" s="1" t="s">
        <v>573</v>
      </c>
      <c r="AC558" s="1" t="s">
        <v>66</v>
      </c>
      <c r="AD558" s="1" t="s">
        <v>712</v>
      </c>
      <c r="AE558" s="1" t="s">
        <v>69</v>
      </c>
      <c r="AG558" s="1">
        <v>10814090</v>
      </c>
    </row>
    <row r="559" spans="3:33" s="1" customFormat="1" x14ac:dyDescent="0.25">
      <c r="C559" s="1" t="s">
        <v>3409</v>
      </c>
      <c r="D559" s="1" t="s">
        <v>3344</v>
      </c>
      <c r="E559" s="1" t="s">
        <v>3410</v>
      </c>
      <c r="F559" s="13" t="s">
        <v>6952</v>
      </c>
      <c r="G559" s="1" t="s">
        <v>3411</v>
      </c>
      <c r="H559" s="1" t="s">
        <v>82</v>
      </c>
      <c r="I559" s="1">
        <v>280</v>
      </c>
      <c r="J559" s="1" t="s">
        <v>46</v>
      </c>
      <c r="M559" s="1" t="s">
        <v>62</v>
      </c>
      <c r="N559" s="1" t="s">
        <v>48</v>
      </c>
      <c r="O559" s="9">
        <v>5</v>
      </c>
      <c r="P559" s="1">
        <f>ROUNDUP(2510*(1-$F$3),2)</f>
        <v>2510</v>
      </c>
      <c r="Q559" s="1" t="s">
        <v>49</v>
      </c>
      <c r="R559" s="1" t="s">
        <v>3412</v>
      </c>
      <c r="S559" s="1" t="s">
        <v>3413</v>
      </c>
      <c r="T559" s="9">
        <v>10</v>
      </c>
      <c r="U559" s="1">
        <f>ROUNDUP(2281.82*(1-$F$3),2)</f>
        <v>2281.8200000000002</v>
      </c>
      <c r="V559" s="1">
        <v>926</v>
      </c>
      <c r="Y559" s="1" t="s">
        <v>3414</v>
      </c>
      <c r="Z559" s="1" t="s">
        <v>53</v>
      </c>
      <c r="AA559" s="12">
        <v>46013</v>
      </c>
      <c r="AB559" s="1" t="s">
        <v>66</v>
      </c>
      <c r="AC559" s="1" t="s">
        <v>77</v>
      </c>
      <c r="AD559" s="1" t="s">
        <v>605</v>
      </c>
      <c r="AE559" s="1" t="s">
        <v>57</v>
      </c>
      <c r="AG559" s="1">
        <v>11897860</v>
      </c>
    </row>
    <row r="560" spans="3:33" s="1" customFormat="1" x14ac:dyDescent="0.25">
      <c r="C560" s="1" t="s">
        <v>3415</v>
      </c>
      <c r="D560" s="1" t="s">
        <v>3344</v>
      </c>
      <c r="E560" s="1" t="s">
        <v>3416</v>
      </c>
      <c r="F560" s="13" t="s">
        <v>6952</v>
      </c>
      <c r="G560" s="1" t="s">
        <v>1207</v>
      </c>
      <c r="H560" s="1" t="s">
        <v>45</v>
      </c>
      <c r="I560" s="1">
        <v>428</v>
      </c>
      <c r="J560" s="1" t="s">
        <v>46</v>
      </c>
      <c r="M560" s="1" t="s">
        <v>47</v>
      </c>
      <c r="N560" s="1" t="s">
        <v>48</v>
      </c>
      <c r="O560" s="9"/>
      <c r="P560" s="1">
        <f>ROUNDUP(6700*(1-$F$3),2)</f>
        <v>6700</v>
      </c>
      <c r="Q560" s="1" t="s">
        <v>49</v>
      </c>
      <c r="R560" s="1" t="s">
        <v>3417</v>
      </c>
      <c r="S560" s="1" t="s">
        <v>3418</v>
      </c>
      <c r="T560" s="9">
        <v>10</v>
      </c>
      <c r="U560" s="1">
        <f>ROUNDUP(6090.91*(1-$F$3),2)</f>
        <v>6090.91</v>
      </c>
      <c r="V560" s="1">
        <v>2091</v>
      </c>
      <c r="Y560" s="1" t="s">
        <v>3419</v>
      </c>
      <c r="Z560" s="1" t="s">
        <v>53</v>
      </c>
      <c r="AA560" s="12">
        <v>44586</v>
      </c>
      <c r="AB560" s="1" t="s">
        <v>66</v>
      </c>
      <c r="AC560" s="1" t="s">
        <v>67</v>
      </c>
      <c r="AD560" s="1" t="s">
        <v>165</v>
      </c>
      <c r="AE560" s="1" t="s">
        <v>57</v>
      </c>
      <c r="AG560" s="1">
        <v>10276410</v>
      </c>
    </row>
    <row r="561" spans="3:33" s="1" customFormat="1" x14ac:dyDescent="0.25">
      <c r="C561" s="1" t="s">
        <v>3420</v>
      </c>
      <c r="D561" s="1" t="s">
        <v>3344</v>
      </c>
      <c r="E561" s="1" t="s">
        <v>1206</v>
      </c>
      <c r="F561" s="13" t="s">
        <v>6952</v>
      </c>
      <c r="G561" s="1" t="s">
        <v>1207</v>
      </c>
      <c r="H561" s="1" t="s">
        <v>3421</v>
      </c>
      <c r="I561" s="1">
        <v>224</v>
      </c>
      <c r="J561" s="1" t="s">
        <v>46</v>
      </c>
      <c r="M561" s="1" t="s">
        <v>176</v>
      </c>
      <c r="N561" s="1" t="s">
        <v>48</v>
      </c>
      <c r="O561" s="9">
        <v>4</v>
      </c>
      <c r="P561" s="1">
        <f>ROUNDUP(3605.8*(1-$F$3),2)</f>
        <v>3605.8</v>
      </c>
      <c r="Q561" s="1" t="s">
        <v>49</v>
      </c>
      <c r="R561" s="1" t="s">
        <v>3422</v>
      </c>
      <c r="S561" s="1" t="s">
        <v>3423</v>
      </c>
      <c r="T561" s="9">
        <v>10</v>
      </c>
      <c r="U561" s="1">
        <f>ROUNDUP(3278*(1-$F$3),2)</f>
        <v>3278</v>
      </c>
      <c r="V561" s="1">
        <v>1175</v>
      </c>
      <c r="Y561" s="1" t="s">
        <v>1210</v>
      </c>
      <c r="Z561" s="1" t="s">
        <v>53</v>
      </c>
      <c r="AA561" s="12">
        <v>44266</v>
      </c>
      <c r="AB561" s="1" t="s">
        <v>66</v>
      </c>
      <c r="AC561" s="1" t="s">
        <v>67</v>
      </c>
      <c r="AD561" s="1" t="s">
        <v>165</v>
      </c>
      <c r="AE561" s="1" t="s">
        <v>57</v>
      </c>
      <c r="AG561" s="1">
        <v>9626420</v>
      </c>
    </row>
    <row r="562" spans="3:33" s="1" customFormat="1" x14ac:dyDescent="0.25">
      <c r="C562" s="1" t="s">
        <v>3424</v>
      </c>
      <c r="D562" s="1" t="s">
        <v>3344</v>
      </c>
      <c r="E562" s="1" t="s">
        <v>3425</v>
      </c>
      <c r="F562" s="13" t="s">
        <v>6952</v>
      </c>
      <c r="G562" s="1" t="s">
        <v>1207</v>
      </c>
      <c r="H562" s="1" t="s">
        <v>3426</v>
      </c>
      <c r="I562" s="1">
        <v>204</v>
      </c>
      <c r="J562" s="1" t="s">
        <v>46</v>
      </c>
      <c r="M562" s="1" t="s">
        <v>47</v>
      </c>
      <c r="N562" s="1" t="s">
        <v>48</v>
      </c>
      <c r="O562" s="9">
        <v>5</v>
      </c>
      <c r="P562" s="1">
        <f>ROUNDUP(3380*(1-$F$3),2)</f>
        <v>3380</v>
      </c>
      <c r="Q562" s="1" t="s">
        <v>49</v>
      </c>
      <c r="R562" s="1" t="s">
        <v>3427</v>
      </c>
      <c r="S562" s="1" t="s">
        <v>3428</v>
      </c>
      <c r="T562" s="9">
        <v>10</v>
      </c>
      <c r="U562" s="1">
        <f>ROUNDUP(3072.73*(1-$F$3),2)</f>
        <v>3072.73</v>
      </c>
      <c r="V562" s="1">
        <v>938</v>
      </c>
      <c r="Y562" s="1" t="s">
        <v>3429</v>
      </c>
      <c r="Z562" s="1" t="s">
        <v>53</v>
      </c>
      <c r="AA562" s="12">
        <v>44579</v>
      </c>
      <c r="AB562" s="1" t="s">
        <v>66</v>
      </c>
      <c r="AC562" s="1" t="s">
        <v>67</v>
      </c>
      <c r="AD562" s="1" t="s">
        <v>165</v>
      </c>
      <c r="AE562" s="1" t="s">
        <v>57</v>
      </c>
      <c r="AG562" s="1">
        <v>10013020</v>
      </c>
    </row>
    <row r="563" spans="3:33" s="1" customFormat="1" x14ac:dyDescent="0.25">
      <c r="C563" s="1" t="s">
        <v>3430</v>
      </c>
      <c r="D563" s="1" t="s">
        <v>3344</v>
      </c>
      <c r="E563" s="1" t="s">
        <v>3431</v>
      </c>
      <c r="F563" s="13" t="s">
        <v>6952</v>
      </c>
      <c r="G563" s="1" t="s">
        <v>1141</v>
      </c>
      <c r="H563" s="1" t="s">
        <v>82</v>
      </c>
      <c r="I563" s="1">
        <v>336</v>
      </c>
      <c r="J563" s="1" t="s">
        <v>46</v>
      </c>
      <c r="M563" s="1" t="s">
        <v>161</v>
      </c>
      <c r="N563" s="1" t="s">
        <v>48</v>
      </c>
      <c r="O563" s="9">
        <v>6</v>
      </c>
      <c r="P563" s="1">
        <f>ROUNDUP(1540*(1-$F$3),2)</f>
        <v>1540</v>
      </c>
      <c r="Q563" s="1" t="s">
        <v>49</v>
      </c>
      <c r="R563" s="1" t="s">
        <v>3432</v>
      </c>
      <c r="S563" s="1" t="s">
        <v>3433</v>
      </c>
      <c r="T563" s="9">
        <v>10</v>
      </c>
      <c r="U563" s="1">
        <f>ROUNDUP(1400*(1-$F$3),2)</f>
        <v>1400</v>
      </c>
      <c r="V563" s="1">
        <v>833</v>
      </c>
      <c r="Y563" s="1" t="s">
        <v>3434</v>
      </c>
      <c r="Z563" s="1" t="s">
        <v>53</v>
      </c>
      <c r="AA563" s="12">
        <v>45165</v>
      </c>
      <c r="AB563" s="1" t="s">
        <v>66</v>
      </c>
      <c r="AC563" s="1" t="s">
        <v>67</v>
      </c>
      <c r="AD563" s="1" t="s">
        <v>165</v>
      </c>
      <c r="AE563" s="1" t="s">
        <v>69</v>
      </c>
      <c r="AG563" s="1">
        <v>11038430</v>
      </c>
    </row>
    <row r="564" spans="3:33" s="1" customFormat="1" x14ac:dyDescent="0.25">
      <c r="C564" s="1" t="s">
        <v>3435</v>
      </c>
      <c r="D564" s="1" t="s">
        <v>3344</v>
      </c>
      <c r="E564" s="1" t="s">
        <v>3436</v>
      </c>
      <c r="F564" s="13" t="s">
        <v>6952</v>
      </c>
      <c r="G564" s="1" t="s">
        <v>3437</v>
      </c>
      <c r="H564" s="1" t="s">
        <v>61</v>
      </c>
      <c r="I564" s="1">
        <v>544</v>
      </c>
      <c r="J564" s="1" t="s">
        <v>46</v>
      </c>
      <c r="M564" s="1" t="s">
        <v>169</v>
      </c>
      <c r="N564" s="1" t="s">
        <v>48</v>
      </c>
      <c r="O564" s="9">
        <v>4</v>
      </c>
      <c r="P564" s="1">
        <f>ROUNDUP(1550*(1-$F$3),2)</f>
        <v>1550</v>
      </c>
      <c r="Q564" s="1" t="s">
        <v>49</v>
      </c>
      <c r="R564" s="1" t="s">
        <v>3438</v>
      </c>
      <c r="S564" s="1" t="s">
        <v>3439</v>
      </c>
      <c r="T564" s="9">
        <v>10</v>
      </c>
      <c r="U564" s="1">
        <f>ROUNDUP(1409.09*(1-$F$3),2)</f>
        <v>1409.09</v>
      </c>
      <c r="V564" s="1">
        <v>977</v>
      </c>
      <c r="Y564" s="1" t="s">
        <v>3440</v>
      </c>
      <c r="Z564" s="1" t="s">
        <v>53</v>
      </c>
      <c r="AA564" s="12">
        <v>44165</v>
      </c>
      <c r="AB564" s="1" t="s">
        <v>66</v>
      </c>
      <c r="AC564" s="1" t="s">
        <v>143</v>
      </c>
      <c r="AD564" s="1" t="s">
        <v>144</v>
      </c>
      <c r="AE564" s="1" t="s">
        <v>69</v>
      </c>
      <c r="AG564" s="1">
        <v>9531640</v>
      </c>
    </row>
    <row r="565" spans="3:33" s="1" customFormat="1" x14ac:dyDescent="0.25">
      <c r="C565" s="1" t="s">
        <v>3441</v>
      </c>
      <c r="D565" s="1" t="s">
        <v>3344</v>
      </c>
      <c r="E565" s="1" t="s">
        <v>3442</v>
      </c>
      <c r="F565" s="13" t="s">
        <v>6952</v>
      </c>
      <c r="G565" s="1" t="s">
        <v>3443</v>
      </c>
      <c r="H565" s="1" t="s">
        <v>82</v>
      </c>
      <c r="I565" s="1">
        <v>296</v>
      </c>
      <c r="J565" s="1" t="s">
        <v>46</v>
      </c>
      <c r="M565" s="1" t="s">
        <v>47</v>
      </c>
      <c r="N565" s="1" t="s">
        <v>48</v>
      </c>
      <c r="O565" s="9">
        <v>6</v>
      </c>
      <c r="P565" s="1">
        <f>ROUNDUP(2050*(1-$F$3),2)</f>
        <v>2050</v>
      </c>
      <c r="Q565" s="1" t="s">
        <v>49</v>
      </c>
      <c r="R565" s="1" t="s">
        <v>3444</v>
      </c>
      <c r="S565" s="1" t="s">
        <v>3445</v>
      </c>
      <c r="T565" s="9">
        <v>10</v>
      </c>
      <c r="U565" s="1">
        <f>ROUNDUP(1863.64*(1-$F$3),2)</f>
        <v>1863.64</v>
      </c>
      <c r="V565" s="1">
        <v>784</v>
      </c>
      <c r="Y565" s="1" t="s">
        <v>3446</v>
      </c>
      <c r="Z565" s="1" t="s">
        <v>128</v>
      </c>
      <c r="AA565" s="12">
        <v>45930</v>
      </c>
      <c r="AB565" s="1" t="s">
        <v>66</v>
      </c>
      <c r="AC565" s="1" t="s">
        <v>77</v>
      </c>
      <c r="AD565" s="1" t="s">
        <v>1360</v>
      </c>
      <c r="AE565" s="1" t="s">
        <v>57</v>
      </c>
      <c r="AG565" s="1">
        <v>11865940</v>
      </c>
    </row>
    <row r="566" spans="3:33" s="1" customFormat="1" x14ac:dyDescent="0.25">
      <c r="C566" s="1" t="s">
        <v>3447</v>
      </c>
      <c r="D566" s="1" t="s">
        <v>3448</v>
      </c>
      <c r="E566" s="1" t="s">
        <v>3449</v>
      </c>
      <c r="F566" s="13" t="s">
        <v>6952</v>
      </c>
      <c r="G566" s="1" t="s">
        <v>1542</v>
      </c>
      <c r="H566" s="1" t="s">
        <v>190</v>
      </c>
      <c r="I566" s="1">
        <v>882</v>
      </c>
      <c r="J566" s="1" t="s">
        <v>46</v>
      </c>
      <c r="M566" s="1" t="s">
        <v>62</v>
      </c>
      <c r="N566" s="1" t="s">
        <v>139</v>
      </c>
      <c r="O566" s="9"/>
      <c r="P566" s="1">
        <f>ROUNDUP(2090*(1-$F$3),2)</f>
        <v>2090</v>
      </c>
      <c r="Q566" s="1" t="s">
        <v>49</v>
      </c>
      <c r="R566" s="1" t="s">
        <v>3450</v>
      </c>
      <c r="S566" s="1" t="s">
        <v>3451</v>
      </c>
      <c r="T566" s="9">
        <v>10</v>
      </c>
      <c r="U566" s="1">
        <f>ROUNDUP(1900*(1-$F$3),2)</f>
        <v>1900</v>
      </c>
      <c r="V566" s="1">
        <v>466</v>
      </c>
      <c r="Y566" s="1" t="s">
        <v>3452</v>
      </c>
      <c r="Z566" s="1" t="s">
        <v>53</v>
      </c>
      <c r="AA566" s="12">
        <v>45531</v>
      </c>
      <c r="AB566" s="1" t="s">
        <v>95</v>
      </c>
      <c r="AC566" s="1" t="s">
        <v>112</v>
      </c>
      <c r="AD566" s="1" t="s">
        <v>839</v>
      </c>
      <c r="AE566" s="1" t="s">
        <v>69</v>
      </c>
      <c r="AG566" s="1">
        <v>11451050</v>
      </c>
    </row>
    <row r="567" spans="3:33" s="1" customFormat="1" x14ac:dyDescent="0.25">
      <c r="C567" s="1" t="s">
        <v>3453</v>
      </c>
      <c r="D567" s="1" t="s">
        <v>3448</v>
      </c>
      <c r="E567" s="1" t="s">
        <v>3454</v>
      </c>
      <c r="F567" s="13" t="s">
        <v>6952</v>
      </c>
      <c r="G567" s="1" t="s">
        <v>888</v>
      </c>
      <c r="H567" s="1" t="s">
        <v>82</v>
      </c>
      <c r="I567" s="1">
        <v>1664</v>
      </c>
      <c r="J567" s="1" t="s">
        <v>46</v>
      </c>
      <c r="M567" s="1" t="s">
        <v>47</v>
      </c>
      <c r="N567" s="1" t="s">
        <v>48</v>
      </c>
      <c r="O567" s="9">
        <v>1</v>
      </c>
      <c r="P567" s="1">
        <f>ROUNDUP(5080*(1-$F$3),2)</f>
        <v>5080</v>
      </c>
      <c r="Q567" s="1" t="s">
        <v>49</v>
      </c>
      <c r="R567" s="1" t="s">
        <v>3455</v>
      </c>
      <c r="S567" s="1" t="s">
        <v>3456</v>
      </c>
      <c r="T567" s="9">
        <v>10</v>
      </c>
      <c r="U567" s="1">
        <f>ROUNDUP(4618.18*(1-$F$3),2)</f>
        <v>4618.18</v>
      </c>
      <c r="V567" s="1">
        <v>2918</v>
      </c>
      <c r="Y567" s="1" t="s">
        <v>3457</v>
      </c>
      <c r="Z567" s="1" t="s">
        <v>53</v>
      </c>
      <c r="AA567" s="12">
        <v>45531</v>
      </c>
      <c r="AB567" s="1" t="s">
        <v>95</v>
      </c>
      <c r="AC567" s="1" t="s">
        <v>112</v>
      </c>
      <c r="AD567" s="1" t="s">
        <v>839</v>
      </c>
      <c r="AE567" s="1" t="s">
        <v>69</v>
      </c>
      <c r="AG567" s="1">
        <v>11451040</v>
      </c>
    </row>
    <row r="568" spans="3:33" s="1" customFormat="1" x14ac:dyDescent="0.25">
      <c r="C568" s="1" t="s">
        <v>3458</v>
      </c>
      <c r="D568" s="1" t="s">
        <v>3448</v>
      </c>
      <c r="E568" s="1" t="s">
        <v>3459</v>
      </c>
      <c r="F568" s="13" t="s">
        <v>6952</v>
      </c>
      <c r="G568" s="1" t="s">
        <v>3460</v>
      </c>
      <c r="H568" s="1" t="s">
        <v>82</v>
      </c>
      <c r="I568" s="1">
        <v>1840</v>
      </c>
      <c r="J568" s="1" t="s">
        <v>46</v>
      </c>
      <c r="M568" s="1" t="s">
        <v>176</v>
      </c>
      <c r="N568" s="1" t="s">
        <v>48</v>
      </c>
      <c r="O568" s="9">
        <v>1</v>
      </c>
      <c r="P568" s="1">
        <f>ROUNDUP(5709*(1-$F$3),2)</f>
        <v>5709</v>
      </c>
      <c r="Q568" s="1" t="s">
        <v>49</v>
      </c>
      <c r="R568" s="1" t="s">
        <v>3461</v>
      </c>
      <c r="S568" s="1" t="s">
        <v>3462</v>
      </c>
      <c r="T568" s="9">
        <v>10</v>
      </c>
      <c r="U568" s="1">
        <f>ROUNDUP(5190*(1-$F$3),2)</f>
        <v>5190</v>
      </c>
      <c r="V568" s="1">
        <v>2945</v>
      </c>
      <c r="Y568" s="1" t="s">
        <v>3463</v>
      </c>
      <c r="Z568" s="1" t="s">
        <v>53</v>
      </c>
      <c r="AA568" s="12">
        <v>45531</v>
      </c>
      <c r="AB568" s="1" t="s">
        <v>95</v>
      </c>
      <c r="AC568" s="1" t="s">
        <v>112</v>
      </c>
      <c r="AD568" s="1" t="s">
        <v>113</v>
      </c>
      <c r="AE568" s="1" t="s">
        <v>69</v>
      </c>
      <c r="AG568" s="1">
        <v>11451840</v>
      </c>
    </row>
    <row r="569" spans="3:33" s="1" customFormat="1" x14ac:dyDescent="0.25">
      <c r="C569" s="1" t="s">
        <v>3464</v>
      </c>
      <c r="D569" s="1" t="s">
        <v>3448</v>
      </c>
      <c r="E569" s="1" t="s">
        <v>3465</v>
      </c>
      <c r="F569" s="13" t="s">
        <v>6952</v>
      </c>
      <c r="G569" s="1" t="s">
        <v>888</v>
      </c>
      <c r="H569" s="1" t="s">
        <v>1240</v>
      </c>
      <c r="I569" s="1">
        <v>624</v>
      </c>
      <c r="J569" s="1" t="s">
        <v>46</v>
      </c>
      <c r="M569" s="1" t="s">
        <v>62</v>
      </c>
      <c r="N569" s="1" t="s">
        <v>139</v>
      </c>
      <c r="O569" s="9"/>
      <c r="P569" s="1">
        <f>ROUNDUP(944.1*(1-$F$3),2)</f>
        <v>944.1</v>
      </c>
      <c r="Q569" s="1" t="s">
        <v>49</v>
      </c>
      <c r="R569" s="1" t="s">
        <v>3466</v>
      </c>
      <c r="S569" s="1" t="s">
        <v>3467</v>
      </c>
      <c r="T569" s="9">
        <v>10</v>
      </c>
      <c r="U569" s="1">
        <f>ROUNDUP(858.27*(1-$F$3),2)</f>
        <v>858.27</v>
      </c>
      <c r="V569" s="1">
        <v>313</v>
      </c>
      <c r="Y569" s="1" t="s">
        <v>3468</v>
      </c>
      <c r="Z569" s="1" t="s">
        <v>53</v>
      </c>
      <c r="AA569" s="12">
        <v>45265</v>
      </c>
      <c r="AB569" s="1" t="s">
        <v>95</v>
      </c>
      <c r="AC569" s="1" t="s">
        <v>112</v>
      </c>
      <c r="AD569" s="1" t="s">
        <v>839</v>
      </c>
      <c r="AE569" s="1" t="s">
        <v>878</v>
      </c>
      <c r="AG569" s="1">
        <v>11175100</v>
      </c>
    </row>
    <row r="570" spans="3:33" s="1" customFormat="1" x14ac:dyDescent="0.25">
      <c r="C570" s="1" t="s">
        <v>3469</v>
      </c>
      <c r="D570" s="1" t="s">
        <v>3448</v>
      </c>
      <c r="E570" s="1" t="s">
        <v>3470</v>
      </c>
      <c r="F570" s="13" t="s">
        <v>6952</v>
      </c>
      <c r="G570" s="1" t="s">
        <v>888</v>
      </c>
      <c r="H570" s="1" t="s">
        <v>61</v>
      </c>
      <c r="I570" s="1">
        <v>1568</v>
      </c>
      <c r="J570" s="1" t="s">
        <v>46</v>
      </c>
      <c r="M570" s="1" t="s">
        <v>62</v>
      </c>
      <c r="N570" s="1" t="s">
        <v>48</v>
      </c>
      <c r="O570" s="9"/>
      <c r="P570" s="1">
        <f>ROUNDUP(2090*(1-$F$3),2)</f>
        <v>2090</v>
      </c>
      <c r="Q570" s="1" t="s">
        <v>49</v>
      </c>
      <c r="R570" s="1" t="s">
        <v>3471</v>
      </c>
      <c r="S570" s="1" t="s">
        <v>3472</v>
      </c>
      <c r="T570" s="9">
        <v>10</v>
      </c>
      <c r="U570" s="1">
        <f>ROUNDUP(1900*(1-$F$3),2)</f>
        <v>1900</v>
      </c>
      <c r="V570" s="1">
        <v>1192</v>
      </c>
      <c r="Y570" s="1" t="s">
        <v>3473</v>
      </c>
      <c r="Z570" s="1" t="s">
        <v>53</v>
      </c>
      <c r="AA570" s="12">
        <v>45601</v>
      </c>
      <c r="AB570" s="1" t="s">
        <v>95</v>
      </c>
      <c r="AC570" s="1" t="s">
        <v>112</v>
      </c>
      <c r="AD570" s="1" t="s">
        <v>839</v>
      </c>
      <c r="AE570" s="1" t="s">
        <v>878</v>
      </c>
      <c r="AG570" s="1">
        <v>11514090</v>
      </c>
    </row>
    <row r="571" spans="3:33" s="1" customFormat="1" x14ac:dyDescent="0.25">
      <c r="C571" s="1" t="s">
        <v>3474</v>
      </c>
      <c r="D571" s="1" t="s">
        <v>3448</v>
      </c>
      <c r="E571" s="1" t="s">
        <v>3475</v>
      </c>
      <c r="F571" s="13" t="s">
        <v>6952</v>
      </c>
      <c r="G571" s="1" t="s">
        <v>888</v>
      </c>
      <c r="H571" s="1" t="s">
        <v>61</v>
      </c>
      <c r="I571" s="1">
        <v>2480</v>
      </c>
      <c r="J571" s="1" t="s">
        <v>46</v>
      </c>
      <c r="M571" s="1" t="s">
        <v>62</v>
      </c>
      <c r="N571" s="1" t="s">
        <v>48</v>
      </c>
      <c r="O571" s="9"/>
      <c r="P571" s="1">
        <f>ROUNDUP(3407.31*(1-$F$3),2)</f>
        <v>3407.31</v>
      </c>
      <c r="Q571" s="1" t="s">
        <v>49</v>
      </c>
      <c r="R571" s="1" t="s">
        <v>3476</v>
      </c>
      <c r="S571" s="1" t="s">
        <v>3477</v>
      </c>
      <c r="T571" s="9">
        <v>10</v>
      </c>
      <c r="U571" s="1">
        <f>ROUNDUP(3097.55*(1-$F$3),2)</f>
        <v>3097.55</v>
      </c>
      <c r="V571" s="1">
        <v>1765</v>
      </c>
      <c r="Y571" s="1" t="s">
        <v>3478</v>
      </c>
      <c r="Z571" s="1" t="s">
        <v>53</v>
      </c>
      <c r="AA571" s="12">
        <v>45601</v>
      </c>
      <c r="AB571" s="1" t="s">
        <v>95</v>
      </c>
      <c r="AC571" s="1" t="s">
        <v>112</v>
      </c>
      <c r="AD571" s="1" t="s">
        <v>839</v>
      </c>
      <c r="AE571" s="1" t="s">
        <v>878</v>
      </c>
      <c r="AG571" s="1">
        <v>11514110</v>
      </c>
    </row>
    <row r="572" spans="3:33" s="1" customFormat="1" x14ac:dyDescent="0.25">
      <c r="C572" s="1" t="s">
        <v>3479</v>
      </c>
      <c r="D572" s="1" t="s">
        <v>3448</v>
      </c>
      <c r="E572" s="1" t="s">
        <v>3480</v>
      </c>
      <c r="F572" s="13" t="s">
        <v>6952</v>
      </c>
      <c r="G572" s="1" t="s">
        <v>888</v>
      </c>
      <c r="H572" s="1" t="s">
        <v>61</v>
      </c>
      <c r="I572" s="1">
        <v>1680</v>
      </c>
      <c r="J572" s="1" t="s">
        <v>46</v>
      </c>
      <c r="M572" s="1" t="s">
        <v>62</v>
      </c>
      <c r="N572" s="1" t="s">
        <v>48</v>
      </c>
      <c r="O572" s="9"/>
      <c r="P572" s="1">
        <f>ROUNDUP(2300*(1-$F$3),2)</f>
        <v>2300</v>
      </c>
      <c r="Q572" s="1" t="s">
        <v>49</v>
      </c>
      <c r="R572" s="1" t="s">
        <v>3481</v>
      </c>
      <c r="S572" s="1" t="s">
        <v>3482</v>
      </c>
      <c r="T572" s="9">
        <v>10</v>
      </c>
      <c r="U572" s="1">
        <f>ROUNDUP(2090.91*(1-$F$3),2)</f>
        <v>2090.91</v>
      </c>
      <c r="V572" s="1">
        <v>1131</v>
      </c>
      <c r="Y572" s="1" t="s">
        <v>3483</v>
      </c>
      <c r="Z572" s="1" t="s">
        <v>53</v>
      </c>
      <c r="AA572" s="12">
        <v>45601</v>
      </c>
      <c r="AB572" s="1" t="s">
        <v>95</v>
      </c>
      <c r="AC572" s="1" t="s">
        <v>112</v>
      </c>
      <c r="AD572" s="1" t="s">
        <v>839</v>
      </c>
      <c r="AE572" s="1" t="s">
        <v>878</v>
      </c>
      <c r="AG572" s="1">
        <v>11514100</v>
      </c>
    </row>
    <row r="573" spans="3:33" s="1" customFormat="1" x14ac:dyDescent="0.25">
      <c r="C573" s="1" t="s">
        <v>3484</v>
      </c>
      <c r="D573" s="1" t="s">
        <v>3448</v>
      </c>
      <c r="E573" s="1" t="s">
        <v>3485</v>
      </c>
      <c r="F573" s="13" t="s">
        <v>6952</v>
      </c>
      <c r="G573" s="1" t="s">
        <v>888</v>
      </c>
      <c r="H573" s="1" t="s">
        <v>61</v>
      </c>
      <c r="I573" s="1">
        <v>2464</v>
      </c>
      <c r="J573" s="1" t="s">
        <v>46</v>
      </c>
      <c r="M573" s="1" t="s">
        <v>47</v>
      </c>
      <c r="N573" s="1" t="s">
        <v>139</v>
      </c>
      <c r="O573" s="9"/>
      <c r="P573" s="1">
        <f>ROUNDUP(3346.2*(1-$F$3),2)</f>
        <v>3346.2</v>
      </c>
      <c r="Q573" s="1" t="s">
        <v>49</v>
      </c>
      <c r="R573" s="1" t="s">
        <v>3486</v>
      </c>
      <c r="S573" s="1" t="s">
        <v>3487</v>
      </c>
      <c r="T573" s="9">
        <v>10</v>
      </c>
      <c r="U573" s="1">
        <f>ROUNDUP(3042*(1-$F$3),2)</f>
        <v>3042</v>
      </c>
      <c r="V573" s="1">
        <v>1982</v>
      </c>
      <c r="Y573" s="1" t="s">
        <v>3488</v>
      </c>
      <c r="Z573" s="1" t="s">
        <v>53</v>
      </c>
      <c r="AA573" s="12">
        <v>45266</v>
      </c>
      <c r="AB573" s="1" t="s">
        <v>95</v>
      </c>
      <c r="AC573" s="1" t="s">
        <v>112</v>
      </c>
      <c r="AD573" s="1" t="s">
        <v>839</v>
      </c>
      <c r="AE573" s="1" t="s">
        <v>69</v>
      </c>
      <c r="AG573" s="1">
        <v>11175770</v>
      </c>
    </row>
    <row r="574" spans="3:33" s="1" customFormat="1" x14ac:dyDescent="0.25">
      <c r="C574" s="1" t="s">
        <v>3489</v>
      </c>
      <c r="D574" s="1" t="s">
        <v>3448</v>
      </c>
      <c r="E574" s="1" t="s">
        <v>3490</v>
      </c>
      <c r="F574" s="13" t="s">
        <v>6952</v>
      </c>
      <c r="G574" s="1" t="s">
        <v>3491</v>
      </c>
      <c r="H574" s="1" t="s">
        <v>82</v>
      </c>
      <c r="I574" s="1">
        <v>1840</v>
      </c>
      <c r="J574" s="1" t="s">
        <v>46</v>
      </c>
      <c r="M574" s="1" t="s">
        <v>47</v>
      </c>
      <c r="N574" s="1" t="s">
        <v>48</v>
      </c>
      <c r="O574" s="9"/>
      <c r="P574" s="1">
        <f>ROUNDUP(3850*(1-$F$3),2)</f>
        <v>3850</v>
      </c>
      <c r="Q574" s="1" t="s">
        <v>49</v>
      </c>
      <c r="R574" s="1" t="s">
        <v>3492</v>
      </c>
      <c r="S574" s="1" t="s">
        <v>3493</v>
      </c>
      <c r="T574" s="9">
        <v>10</v>
      </c>
      <c r="U574" s="1">
        <f>ROUNDUP(3500*(1-$F$3),2)</f>
        <v>3500</v>
      </c>
      <c r="V574" s="1">
        <v>2619</v>
      </c>
      <c r="Y574" s="1" t="s">
        <v>3494</v>
      </c>
      <c r="Z574" s="1" t="s">
        <v>53</v>
      </c>
      <c r="AA574" s="12">
        <v>45531</v>
      </c>
      <c r="AB574" s="1" t="s">
        <v>334</v>
      </c>
      <c r="AC574" s="1" t="s">
        <v>892</v>
      </c>
      <c r="AD574" s="1" t="s">
        <v>893</v>
      </c>
      <c r="AE574" s="1" t="s">
        <v>69</v>
      </c>
      <c r="AG574" s="1">
        <v>11451660</v>
      </c>
    </row>
    <row r="575" spans="3:33" s="1" customFormat="1" x14ac:dyDescent="0.25">
      <c r="C575" s="1" t="s">
        <v>3495</v>
      </c>
      <c r="D575" s="1" t="s">
        <v>3448</v>
      </c>
      <c r="E575" s="1" t="s">
        <v>3496</v>
      </c>
      <c r="F575" s="13" t="s">
        <v>6952</v>
      </c>
      <c r="G575" s="1" t="s">
        <v>3460</v>
      </c>
      <c r="H575" s="1" t="s">
        <v>82</v>
      </c>
      <c r="I575" s="1">
        <v>1608</v>
      </c>
      <c r="J575" s="1" t="s">
        <v>46</v>
      </c>
      <c r="M575" s="1" t="s">
        <v>47</v>
      </c>
      <c r="N575" s="1" t="s">
        <v>48</v>
      </c>
      <c r="O575" s="9">
        <v>1</v>
      </c>
      <c r="P575" s="1">
        <f>ROUNDUP(5380*(1-$F$3),2)</f>
        <v>5380</v>
      </c>
      <c r="Q575" s="1" t="s">
        <v>49</v>
      </c>
      <c r="R575" s="1" t="s">
        <v>3497</v>
      </c>
      <c r="S575" s="1" t="s">
        <v>3498</v>
      </c>
      <c r="T575" s="9">
        <v>10</v>
      </c>
      <c r="U575" s="1">
        <f>ROUNDUP(4890.91*(1-$F$3),2)</f>
        <v>4890.91</v>
      </c>
      <c r="V575" s="1">
        <v>2585</v>
      </c>
      <c r="Y575" s="1" t="s">
        <v>3499</v>
      </c>
      <c r="Z575" s="1" t="s">
        <v>53</v>
      </c>
      <c r="AA575" s="12">
        <v>45531</v>
      </c>
      <c r="AB575" s="1" t="s">
        <v>95</v>
      </c>
      <c r="AC575" s="1" t="s">
        <v>112</v>
      </c>
      <c r="AD575" s="1" t="s">
        <v>113</v>
      </c>
      <c r="AE575" s="1" t="s">
        <v>69</v>
      </c>
      <c r="AG575" s="1">
        <v>11451850</v>
      </c>
    </row>
    <row r="576" spans="3:33" s="1" customFormat="1" x14ac:dyDescent="0.25">
      <c r="C576" s="1" t="s">
        <v>3500</v>
      </c>
      <c r="D576" s="1" t="s">
        <v>3448</v>
      </c>
      <c r="E576" s="1" t="s">
        <v>3501</v>
      </c>
      <c r="F576" s="13" t="s">
        <v>6952</v>
      </c>
      <c r="G576" s="1" t="s">
        <v>3502</v>
      </c>
      <c r="H576" s="1" t="s">
        <v>190</v>
      </c>
      <c r="I576" s="1">
        <v>1232</v>
      </c>
      <c r="J576" s="1" t="s">
        <v>46</v>
      </c>
      <c r="M576" s="1" t="s">
        <v>176</v>
      </c>
      <c r="N576" s="1" t="s">
        <v>139</v>
      </c>
      <c r="O576" s="9"/>
      <c r="P576" s="1">
        <f>ROUNDUP(2930*(1-$F$3),2)</f>
        <v>2930</v>
      </c>
      <c r="Q576" s="1" t="s">
        <v>49</v>
      </c>
      <c r="R576" s="1" t="s">
        <v>3503</v>
      </c>
      <c r="S576" s="1" t="s">
        <v>3504</v>
      </c>
      <c r="T576" s="9">
        <v>10</v>
      </c>
      <c r="U576" s="1">
        <f>ROUNDUP(2663.64*(1-$F$3),2)</f>
        <v>2663.64</v>
      </c>
      <c r="V576" s="1">
        <v>863</v>
      </c>
      <c r="Y576" s="1" t="s">
        <v>3505</v>
      </c>
      <c r="Z576" s="1" t="s">
        <v>53</v>
      </c>
      <c r="AA576" s="12">
        <v>45586</v>
      </c>
      <c r="AB576" s="1" t="s">
        <v>95</v>
      </c>
      <c r="AC576" s="1" t="s">
        <v>112</v>
      </c>
      <c r="AD576" s="1" t="s">
        <v>113</v>
      </c>
      <c r="AE576" s="1" t="s">
        <v>69</v>
      </c>
      <c r="AG576" s="1">
        <v>11524160</v>
      </c>
    </row>
    <row r="577" spans="3:33" s="1" customFormat="1" x14ac:dyDescent="0.25">
      <c r="C577" s="1" t="s">
        <v>3506</v>
      </c>
      <c r="D577" s="1" t="s">
        <v>3448</v>
      </c>
      <c r="E577" s="1" t="s">
        <v>3507</v>
      </c>
      <c r="F577" s="13" t="s">
        <v>6952</v>
      </c>
      <c r="G577" s="1" t="s">
        <v>3508</v>
      </c>
      <c r="H577" s="1" t="s">
        <v>160</v>
      </c>
      <c r="I577" s="1">
        <v>800</v>
      </c>
      <c r="J577" s="1" t="s">
        <v>46</v>
      </c>
      <c r="M577" s="1" t="s">
        <v>161</v>
      </c>
      <c r="N577" s="1" t="s">
        <v>48</v>
      </c>
      <c r="O577" s="9"/>
      <c r="P577" s="1">
        <f>ROUNDUP(2340*(1-$F$3),2)</f>
        <v>2340</v>
      </c>
      <c r="Q577" s="1" t="s">
        <v>49</v>
      </c>
      <c r="R577" s="1" t="s">
        <v>3509</v>
      </c>
      <c r="S577" s="1" t="s">
        <v>3510</v>
      </c>
      <c r="T577" s="9">
        <v>10</v>
      </c>
      <c r="U577" s="1">
        <f>ROUNDUP(2127.27*(1-$F$3),2)</f>
        <v>2127.27</v>
      </c>
      <c r="V577" s="1">
        <v>962</v>
      </c>
      <c r="Y577" s="1" t="s">
        <v>3511</v>
      </c>
      <c r="Z577" s="1" t="s">
        <v>53</v>
      </c>
      <c r="AA577" s="12">
        <v>44655</v>
      </c>
      <c r="AB577" s="1" t="s">
        <v>66</v>
      </c>
      <c r="AC577" s="1" t="s">
        <v>67</v>
      </c>
      <c r="AD577" s="1" t="s">
        <v>165</v>
      </c>
      <c r="AE577" s="1" t="s">
        <v>69</v>
      </c>
      <c r="AG577" s="1">
        <v>10411700</v>
      </c>
    </row>
    <row r="578" spans="3:33" s="1" customFormat="1" x14ac:dyDescent="0.25">
      <c r="C578" s="1" t="s">
        <v>3512</v>
      </c>
      <c r="D578" s="1" t="s">
        <v>3448</v>
      </c>
      <c r="E578" s="1" t="s">
        <v>3513</v>
      </c>
      <c r="F578" s="13" t="s">
        <v>6952</v>
      </c>
      <c r="G578" s="1" t="s">
        <v>3514</v>
      </c>
      <c r="H578" s="1" t="s">
        <v>61</v>
      </c>
      <c r="I578" s="1">
        <v>1304</v>
      </c>
      <c r="J578" s="1" t="s">
        <v>46</v>
      </c>
      <c r="M578" s="1" t="s">
        <v>756</v>
      </c>
      <c r="N578" s="1" t="s">
        <v>48</v>
      </c>
      <c r="O578" s="9"/>
      <c r="P578" s="1">
        <f>ROUNDUP(2340*(1-$F$3),2)</f>
        <v>2340</v>
      </c>
      <c r="Q578" s="1" t="s">
        <v>49</v>
      </c>
      <c r="R578" s="1" t="s">
        <v>3515</v>
      </c>
      <c r="S578" s="1" t="s">
        <v>3516</v>
      </c>
      <c r="T578" s="9">
        <v>10</v>
      </c>
      <c r="U578" s="1">
        <f>ROUNDUP(2127.27*(1-$F$3),2)</f>
        <v>2127.27</v>
      </c>
      <c r="V578" s="1">
        <v>1385</v>
      </c>
      <c r="Y578" s="1" t="s">
        <v>3517</v>
      </c>
      <c r="Z578" s="1" t="s">
        <v>53</v>
      </c>
      <c r="AA578" s="12">
        <v>44655</v>
      </c>
      <c r="AB578" s="1" t="s">
        <v>66</v>
      </c>
      <c r="AC578" s="1" t="s">
        <v>67</v>
      </c>
      <c r="AD578" s="1" t="s">
        <v>165</v>
      </c>
      <c r="AE578" s="1" t="s">
        <v>69</v>
      </c>
      <c r="AG578" s="1">
        <v>10411710</v>
      </c>
    </row>
    <row r="579" spans="3:33" s="1" customFormat="1" x14ac:dyDescent="0.25">
      <c r="C579" s="1" t="s">
        <v>3518</v>
      </c>
      <c r="D579" s="1" t="s">
        <v>3448</v>
      </c>
      <c r="E579" s="1" t="s">
        <v>3519</v>
      </c>
      <c r="F579" s="13" t="s">
        <v>6952</v>
      </c>
      <c r="G579" s="1" t="s">
        <v>3520</v>
      </c>
      <c r="H579" s="1" t="s">
        <v>160</v>
      </c>
      <c r="I579" s="1">
        <v>864</v>
      </c>
      <c r="J579" s="1" t="s">
        <v>46</v>
      </c>
      <c r="M579" s="1" t="s">
        <v>756</v>
      </c>
      <c r="N579" s="1" t="s">
        <v>48</v>
      </c>
      <c r="O579" s="9"/>
      <c r="P579" s="1">
        <f>ROUNDUP(2716.6*(1-$F$3),2)</f>
        <v>2716.6</v>
      </c>
      <c r="Q579" s="1" t="s">
        <v>49</v>
      </c>
      <c r="R579" s="1" t="s">
        <v>3521</v>
      </c>
      <c r="S579" s="1" t="s">
        <v>3522</v>
      </c>
      <c r="T579" s="9">
        <v>10</v>
      </c>
      <c r="U579" s="1">
        <f>ROUNDUP(2469.64*(1-$F$3),2)</f>
        <v>2469.64</v>
      </c>
      <c r="V579" s="1">
        <v>994</v>
      </c>
      <c r="Y579" s="1" t="s">
        <v>3523</v>
      </c>
      <c r="Z579" s="1" t="s">
        <v>53</v>
      </c>
      <c r="AA579" s="12">
        <v>44655</v>
      </c>
      <c r="AB579" s="1" t="s">
        <v>66</v>
      </c>
      <c r="AC579" s="1" t="s">
        <v>67</v>
      </c>
      <c r="AD579" s="1" t="s">
        <v>670</v>
      </c>
      <c r="AE579" s="1" t="s">
        <v>69</v>
      </c>
      <c r="AG579" s="1">
        <v>10413140</v>
      </c>
    </row>
    <row r="580" spans="3:33" s="1" customFormat="1" x14ac:dyDescent="0.25">
      <c r="C580" s="1" t="s">
        <v>3524</v>
      </c>
      <c r="D580" s="1" t="s">
        <v>3448</v>
      </c>
      <c r="E580" s="1" t="s">
        <v>3525</v>
      </c>
      <c r="F580" s="13" t="s">
        <v>6952</v>
      </c>
      <c r="G580" s="1" t="s">
        <v>3526</v>
      </c>
      <c r="H580" s="1" t="s">
        <v>61</v>
      </c>
      <c r="I580" s="1">
        <v>1200</v>
      </c>
      <c r="J580" s="1" t="s">
        <v>46</v>
      </c>
      <c r="M580" s="1" t="s">
        <v>161</v>
      </c>
      <c r="N580" s="1" t="s">
        <v>48</v>
      </c>
      <c r="O580" s="9"/>
      <c r="P580" s="1">
        <f>ROUNDUP(3910*(1-$F$3),2)</f>
        <v>3910</v>
      </c>
      <c r="Q580" s="1" t="s">
        <v>49</v>
      </c>
      <c r="R580" s="1" t="s">
        <v>3527</v>
      </c>
      <c r="S580" s="1" t="s">
        <v>3528</v>
      </c>
      <c r="T580" s="9">
        <v>10</v>
      </c>
      <c r="U580" s="1">
        <f>ROUNDUP(3554.55*(1-$F$3),2)</f>
        <v>3554.55</v>
      </c>
      <c r="V580" s="1">
        <v>757</v>
      </c>
      <c r="Y580" s="1" t="s">
        <v>3529</v>
      </c>
      <c r="Z580" s="1" t="s">
        <v>53</v>
      </c>
      <c r="AA580" s="12">
        <v>45561</v>
      </c>
      <c r="AB580" s="1" t="s">
        <v>95</v>
      </c>
      <c r="AC580" s="1" t="s">
        <v>112</v>
      </c>
      <c r="AD580" s="1" t="s">
        <v>243</v>
      </c>
      <c r="AE580" s="1" t="s">
        <v>69</v>
      </c>
      <c r="AG580" s="1">
        <v>11498410</v>
      </c>
    </row>
    <row r="581" spans="3:33" s="1" customFormat="1" x14ac:dyDescent="0.25">
      <c r="C581" s="1" t="s">
        <v>3530</v>
      </c>
      <c r="D581" s="1" t="s">
        <v>3448</v>
      </c>
      <c r="E581" s="1" t="s">
        <v>3531</v>
      </c>
      <c r="F581" s="13" t="s">
        <v>6952</v>
      </c>
      <c r="G581" s="1" t="s">
        <v>1723</v>
      </c>
      <c r="H581" s="1" t="s">
        <v>61</v>
      </c>
      <c r="I581" s="1">
        <v>1504</v>
      </c>
      <c r="J581" s="1" t="s">
        <v>46</v>
      </c>
      <c r="M581" s="1" t="s">
        <v>62</v>
      </c>
      <c r="N581" s="1" t="s">
        <v>48</v>
      </c>
      <c r="O581" s="9"/>
      <c r="P581" s="1">
        <f>ROUNDUP(3377*(1-$F$3),2)</f>
        <v>3377</v>
      </c>
      <c r="Q581" s="1" t="s">
        <v>49</v>
      </c>
      <c r="R581" s="1" t="s">
        <v>3532</v>
      </c>
      <c r="S581" s="1" t="s">
        <v>3533</v>
      </c>
      <c r="T581" s="9">
        <v>10</v>
      </c>
      <c r="U581" s="1">
        <f>ROUNDUP(3070*(1-$F$3),2)</f>
        <v>3070</v>
      </c>
      <c r="V581" s="1">
        <v>1621</v>
      </c>
      <c r="Y581" s="1" t="s">
        <v>3534</v>
      </c>
      <c r="Z581" s="1" t="s">
        <v>128</v>
      </c>
      <c r="AA581" s="12">
        <v>45562</v>
      </c>
      <c r="AB581" s="1" t="s">
        <v>334</v>
      </c>
      <c r="AC581" s="1" t="s">
        <v>892</v>
      </c>
      <c r="AD581" s="1" t="s">
        <v>893</v>
      </c>
      <c r="AE581" s="1" t="s">
        <v>69</v>
      </c>
      <c r="AG581" s="1">
        <v>11498550</v>
      </c>
    </row>
    <row r="582" spans="3:33" s="1" customFormat="1" x14ac:dyDescent="0.25">
      <c r="C582" s="1" t="s">
        <v>3535</v>
      </c>
      <c r="D582" s="1" t="s">
        <v>3448</v>
      </c>
      <c r="E582" s="1" t="s">
        <v>3536</v>
      </c>
      <c r="F582" s="13" t="s">
        <v>6952</v>
      </c>
      <c r="G582" s="1" t="s">
        <v>3537</v>
      </c>
      <c r="H582" s="1" t="s">
        <v>61</v>
      </c>
      <c r="I582" s="1">
        <v>943</v>
      </c>
      <c r="J582" s="1" t="s">
        <v>46</v>
      </c>
      <c r="M582" s="1" t="s">
        <v>169</v>
      </c>
      <c r="N582" s="1" t="s">
        <v>48</v>
      </c>
      <c r="O582" s="9"/>
      <c r="P582" s="1">
        <f>ROUNDUP(1390*(1-$F$3),2)</f>
        <v>1390</v>
      </c>
      <c r="Q582" s="1" t="s">
        <v>49</v>
      </c>
      <c r="R582" s="1" t="s">
        <v>3538</v>
      </c>
      <c r="S582" s="1" t="s">
        <v>3539</v>
      </c>
      <c r="T582" s="9">
        <v>10</v>
      </c>
      <c r="U582" s="1">
        <f>ROUNDUP(1263.64*(1-$F$3),2)</f>
        <v>1263.6400000000001</v>
      </c>
      <c r="V582" s="1">
        <v>1171</v>
      </c>
      <c r="Y582" s="1" t="s">
        <v>3540</v>
      </c>
      <c r="Z582" s="1" t="s">
        <v>53</v>
      </c>
      <c r="AA582" s="12">
        <v>44655</v>
      </c>
      <c r="AB582" s="1" t="s">
        <v>66</v>
      </c>
      <c r="AC582" s="1" t="s">
        <v>491</v>
      </c>
      <c r="AD582" s="1" t="s">
        <v>492</v>
      </c>
      <c r="AE582" s="1" t="s">
        <v>69</v>
      </c>
      <c r="AG582" s="1">
        <v>10411720</v>
      </c>
    </row>
    <row r="583" spans="3:33" s="1" customFormat="1" x14ac:dyDescent="0.25">
      <c r="C583" s="1" t="s">
        <v>3541</v>
      </c>
      <c r="D583" s="1" t="s">
        <v>3448</v>
      </c>
      <c r="E583" s="1" t="s">
        <v>3542</v>
      </c>
      <c r="F583" s="13" t="s">
        <v>6952</v>
      </c>
      <c r="G583" s="1" t="s">
        <v>843</v>
      </c>
      <c r="H583" s="1" t="s">
        <v>61</v>
      </c>
      <c r="I583" s="1">
        <v>1280</v>
      </c>
      <c r="J583" s="1" t="s">
        <v>46</v>
      </c>
      <c r="M583" s="1" t="s">
        <v>47</v>
      </c>
      <c r="N583" s="1" t="s">
        <v>48</v>
      </c>
      <c r="O583" s="9"/>
      <c r="P583" s="1">
        <f>ROUNDUP(2110*(1-$F$3),2)</f>
        <v>2110</v>
      </c>
      <c r="Q583" s="1" t="s">
        <v>49</v>
      </c>
      <c r="R583" s="1" t="s">
        <v>3543</v>
      </c>
      <c r="S583" s="1" t="s">
        <v>3544</v>
      </c>
      <c r="T583" s="9">
        <v>10</v>
      </c>
      <c r="U583" s="1">
        <f>ROUNDUP(1918.18*(1-$F$3),2)</f>
        <v>1918.18</v>
      </c>
      <c r="V583" s="1">
        <v>1301</v>
      </c>
      <c r="Y583" s="1" t="s">
        <v>3545</v>
      </c>
      <c r="Z583" s="1" t="s">
        <v>76</v>
      </c>
      <c r="AA583" s="12">
        <v>45561</v>
      </c>
      <c r="AB583" s="1" t="s">
        <v>66</v>
      </c>
      <c r="AC583" s="1" t="s">
        <v>143</v>
      </c>
      <c r="AD583" s="1" t="s">
        <v>847</v>
      </c>
      <c r="AE583" s="1" t="s">
        <v>69</v>
      </c>
      <c r="AG583" s="1">
        <v>11498510</v>
      </c>
    </row>
    <row r="584" spans="3:33" s="1" customFormat="1" x14ac:dyDescent="0.25">
      <c r="C584" s="1" t="s">
        <v>3546</v>
      </c>
      <c r="D584" s="1" t="s">
        <v>3448</v>
      </c>
      <c r="E584" s="1" t="s">
        <v>3547</v>
      </c>
      <c r="F584" s="13" t="s">
        <v>6952</v>
      </c>
      <c r="G584" s="1" t="s">
        <v>3364</v>
      </c>
      <c r="H584" s="1" t="s">
        <v>82</v>
      </c>
      <c r="I584" s="1">
        <v>848</v>
      </c>
      <c r="J584" s="1" t="s">
        <v>46</v>
      </c>
      <c r="M584" s="1" t="s">
        <v>47</v>
      </c>
      <c r="N584" s="1" t="s">
        <v>48</v>
      </c>
      <c r="O584" s="9"/>
      <c r="P584" s="1">
        <f>ROUNDUP(4850*(1-$F$3),2)</f>
        <v>4850</v>
      </c>
      <c r="Q584" s="1" t="s">
        <v>49</v>
      </c>
      <c r="R584" s="1" t="s">
        <v>3548</v>
      </c>
      <c r="S584" s="1" t="s">
        <v>3549</v>
      </c>
      <c r="T584" s="9">
        <v>10</v>
      </c>
      <c r="U584" s="1">
        <f>ROUNDUP(4409.09*(1-$F$3),2)</f>
        <v>4409.09</v>
      </c>
      <c r="V584" s="1">
        <v>2097</v>
      </c>
      <c r="Y584" s="1" t="s">
        <v>3550</v>
      </c>
      <c r="Z584" s="1" t="s">
        <v>128</v>
      </c>
      <c r="AA584" s="12">
        <v>45624</v>
      </c>
      <c r="AB584" s="1" t="s">
        <v>66</v>
      </c>
      <c r="AC584" s="1" t="s">
        <v>77</v>
      </c>
      <c r="AD584" s="1" t="s">
        <v>605</v>
      </c>
      <c r="AE584" s="1" t="s">
        <v>69</v>
      </c>
      <c r="AG584" s="1">
        <v>11577850</v>
      </c>
    </row>
    <row r="585" spans="3:33" s="1" customFormat="1" x14ac:dyDescent="0.25">
      <c r="C585" s="1" t="s">
        <v>3551</v>
      </c>
      <c r="D585" s="1" t="s">
        <v>3448</v>
      </c>
      <c r="E585" s="1" t="s">
        <v>3552</v>
      </c>
      <c r="F585" s="13" t="s">
        <v>6952</v>
      </c>
      <c r="G585" s="1" t="s">
        <v>3553</v>
      </c>
      <c r="H585" s="1" t="s">
        <v>160</v>
      </c>
      <c r="I585" s="1">
        <v>736</v>
      </c>
      <c r="J585" s="1" t="s">
        <v>46</v>
      </c>
      <c r="M585" s="1" t="s">
        <v>756</v>
      </c>
      <c r="N585" s="1" t="s">
        <v>48</v>
      </c>
      <c r="O585" s="9"/>
      <c r="P585" s="1">
        <f>ROUNDUP(1770*(1-$F$3),2)</f>
        <v>1770</v>
      </c>
      <c r="Q585" s="1" t="s">
        <v>49</v>
      </c>
      <c r="R585" s="1" t="s">
        <v>3554</v>
      </c>
      <c r="S585" s="1" t="s">
        <v>3555</v>
      </c>
      <c r="T585" s="9">
        <v>10</v>
      </c>
      <c r="U585" s="1">
        <f>ROUNDUP(1609.09*(1-$F$3),2)</f>
        <v>1609.09</v>
      </c>
      <c r="V585" s="1">
        <v>901</v>
      </c>
      <c r="Y585" s="1" t="s">
        <v>3556</v>
      </c>
      <c r="Z585" s="1" t="s">
        <v>128</v>
      </c>
      <c r="AA585" s="12">
        <v>44358</v>
      </c>
      <c r="AB585" s="1" t="s">
        <v>234</v>
      </c>
      <c r="AC585" s="1" t="s">
        <v>235</v>
      </c>
      <c r="AD585" s="1" t="s">
        <v>1264</v>
      </c>
      <c r="AE585" s="1" t="s">
        <v>69</v>
      </c>
      <c r="AG585" s="1">
        <v>9745000</v>
      </c>
    </row>
    <row r="586" spans="3:33" s="1" customFormat="1" x14ac:dyDescent="0.25">
      <c r="C586" s="1" t="s">
        <v>3557</v>
      </c>
      <c r="D586" s="1" t="s">
        <v>3448</v>
      </c>
      <c r="E586" s="1" t="s">
        <v>3552</v>
      </c>
      <c r="F586" s="13" t="s">
        <v>6952</v>
      </c>
      <c r="G586" s="1" t="s">
        <v>3553</v>
      </c>
      <c r="H586" s="1" t="s">
        <v>160</v>
      </c>
      <c r="I586" s="1">
        <v>736</v>
      </c>
      <c r="J586" s="1" t="s">
        <v>46</v>
      </c>
      <c r="M586" s="1" t="s">
        <v>756</v>
      </c>
      <c r="N586" s="1" t="s">
        <v>48</v>
      </c>
      <c r="O586" s="9"/>
      <c r="P586" s="1">
        <f>ROUNDUP(1770*(1-$F$3),2)</f>
        <v>1770</v>
      </c>
      <c r="Q586" s="1" t="s">
        <v>49</v>
      </c>
      <c r="R586" s="1" t="s">
        <v>3558</v>
      </c>
      <c r="S586" s="1" t="s">
        <v>3559</v>
      </c>
      <c r="T586" s="9">
        <v>10</v>
      </c>
      <c r="U586" s="1">
        <f>ROUNDUP(1609.09*(1-$F$3),2)</f>
        <v>1609.09</v>
      </c>
      <c r="V586" s="1">
        <v>899</v>
      </c>
      <c r="Y586" s="1" t="s">
        <v>3556</v>
      </c>
      <c r="Z586" s="1" t="s">
        <v>128</v>
      </c>
      <c r="AA586" s="12">
        <v>44399</v>
      </c>
      <c r="AB586" s="1" t="s">
        <v>234</v>
      </c>
      <c r="AC586" s="1" t="s">
        <v>235</v>
      </c>
      <c r="AD586" s="1" t="s">
        <v>1264</v>
      </c>
      <c r="AE586" s="1" t="s">
        <v>69</v>
      </c>
      <c r="AG586" s="1">
        <v>9796660</v>
      </c>
    </row>
    <row r="587" spans="3:33" s="1" customFormat="1" x14ac:dyDescent="0.25">
      <c r="C587" s="1" t="s">
        <v>3560</v>
      </c>
      <c r="D587" s="1" t="s">
        <v>3448</v>
      </c>
      <c r="E587" s="1" t="s">
        <v>3561</v>
      </c>
      <c r="F587" s="13" t="s">
        <v>6952</v>
      </c>
      <c r="G587" s="1" t="s">
        <v>3562</v>
      </c>
      <c r="H587" s="1" t="s">
        <v>160</v>
      </c>
      <c r="I587" s="1">
        <v>816</v>
      </c>
      <c r="J587" s="1" t="s">
        <v>46</v>
      </c>
      <c r="M587" s="1" t="s">
        <v>756</v>
      </c>
      <c r="N587" s="1" t="s">
        <v>48</v>
      </c>
      <c r="O587" s="9"/>
      <c r="P587" s="1">
        <f>ROUNDUP(1890*(1-$F$3),2)</f>
        <v>1890</v>
      </c>
      <c r="Q587" s="1" t="s">
        <v>49</v>
      </c>
      <c r="R587" s="1" t="s">
        <v>3563</v>
      </c>
      <c r="S587" s="1" t="s">
        <v>3564</v>
      </c>
      <c r="T587" s="9">
        <v>10</v>
      </c>
      <c r="U587" s="1">
        <f>ROUNDUP(1718.18*(1-$F$3),2)</f>
        <v>1718.18</v>
      </c>
      <c r="V587" s="1">
        <v>961</v>
      </c>
      <c r="Y587" s="1" t="s">
        <v>3565</v>
      </c>
      <c r="Z587" s="1" t="s">
        <v>128</v>
      </c>
      <c r="AA587" s="12">
        <v>44358</v>
      </c>
      <c r="AB587" s="1" t="s">
        <v>234</v>
      </c>
      <c r="AC587" s="1" t="s">
        <v>235</v>
      </c>
      <c r="AD587" s="1" t="s">
        <v>1264</v>
      </c>
      <c r="AE587" s="1" t="s">
        <v>69</v>
      </c>
      <c r="AG587" s="1">
        <v>9744980</v>
      </c>
    </row>
    <row r="588" spans="3:33" s="1" customFormat="1" x14ac:dyDescent="0.25">
      <c r="C588" s="1" t="s">
        <v>3566</v>
      </c>
      <c r="D588" s="1" t="s">
        <v>3448</v>
      </c>
      <c r="E588" s="1" t="s">
        <v>3567</v>
      </c>
      <c r="F588" s="13" t="s">
        <v>6952</v>
      </c>
      <c r="G588" s="1" t="s">
        <v>3562</v>
      </c>
      <c r="H588" s="1" t="s">
        <v>160</v>
      </c>
      <c r="I588" s="1">
        <v>816</v>
      </c>
      <c r="J588" s="1" t="s">
        <v>46</v>
      </c>
      <c r="M588" s="1" t="s">
        <v>756</v>
      </c>
      <c r="N588" s="1" t="s">
        <v>48</v>
      </c>
      <c r="O588" s="9"/>
      <c r="P588" s="1">
        <f>ROUNDUP(1770*(1-$F$3),2)</f>
        <v>1770</v>
      </c>
      <c r="Q588" s="1" t="s">
        <v>49</v>
      </c>
      <c r="R588" s="1" t="s">
        <v>3568</v>
      </c>
      <c r="S588" s="1" t="s">
        <v>3569</v>
      </c>
      <c r="T588" s="9">
        <v>10</v>
      </c>
      <c r="U588" s="1">
        <f>ROUNDUP(1609.09*(1-$F$3),2)</f>
        <v>1609.09</v>
      </c>
      <c r="V588" s="1">
        <v>962</v>
      </c>
      <c r="Y588" s="1" t="s">
        <v>3570</v>
      </c>
      <c r="Z588" s="1" t="s">
        <v>128</v>
      </c>
      <c r="AA588" s="12">
        <v>44399</v>
      </c>
      <c r="AB588" s="1" t="s">
        <v>234</v>
      </c>
      <c r="AC588" s="1" t="s">
        <v>235</v>
      </c>
      <c r="AD588" s="1" t="s">
        <v>1264</v>
      </c>
      <c r="AE588" s="1" t="s">
        <v>69</v>
      </c>
      <c r="AG588" s="1">
        <v>9796630</v>
      </c>
    </row>
    <row r="589" spans="3:33" s="1" customFormat="1" x14ac:dyDescent="0.25">
      <c r="C589" s="1" t="s">
        <v>3571</v>
      </c>
      <c r="D589" s="1" t="s">
        <v>3448</v>
      </c>
      <c r="E589" s="1" t="s">
        <v>3572</v>
      </c>
      <c r="F589" s="13" t="s">
        <v>6952</v>
      </c>
      <c r="G589" s="1" t="s">
        <v>2365</v>
      </c>
      <c r="H589" s="1" t="s">
        <v>160</v>
      </c>
      <c r="I589" s="1">
        <v>832</v>
      </c>
      <c r="J589" s="1" t="s">
        <v>46</v>
      </c>
      <c r="M589" s="1" t="s">
        <v>756</v>
      </c>
      <c r="N589" s="1" t="s">
        <v>48</v>
      </c>
      <c r="O589" s="9"/>
      <c r="P589" s="1">
        <f>ROUNDUP(1770*(1-$F$3),2)</f>
        <v>1770</v>
      </c>
      <c r="Q589" s="1" t="s">
        <v>49</v>
      </c>
      <c r="R589" s="1" t="s">
        <v>3573</v>
      </c>
      <c r="S589" s="1" t="s">
        <v>3574</v>
      </c>
      <c r="T589" s="9">
        <v>10</v>
      </c>
      <c r="U589" s="1">
        <f>ROUNDUP(1609.09*(1-$F$3),2)</f>
        <v>1609.09</v>
      </c>
      <c r="V589" s="1">
        <v>979</v>
      </c>
      <c r="Y589" s="1" t="s">
        <v>3575</v>
      </c>
      <c r="Z589" s="1" t="s">
        <v>128</v>
      </c>
      <c r="AA589" s="12">
        <v>44358</v>
      </c>
      <c r="AB589" s="1" t="s">
        <v>234</v>
      </c>
      <c r="AC589" s="1" t="s">
        <v>235</v>
      </c>
      <c r="AD589" s="1" t="s">
        <v>350</v>
      </c>
      <c r="AE589" s="1" t="s">
        <v>69</v>
      </c>
      <c r="AG589" s="1">
        <v>9744970</v>
      </c>
    </row>
    <row r="590" spans="3:33" s="1" customFormat="1" x14ac:dyDescent="0.25">
      <c r="C590" s="1" t="s">
        <v>3576</v>
      </c>
      <c r="D590" s="1" t="s">
        <v>3448</v>
      </c>
      <c r="E590" s="1" t="s">
        <v>3577</v>
      </c>
      <c r="F590" s="13" t="s">
        <v>6952</v>
      </c>
      <c r="G590" s="1" t="s">
        <v>3578</v>
      </c>
      <c r="H590" s="1" t="s">
        <v>160</v>
      </c>
      <c r="I590" s="1">
        <v>1056</v>
      </c>
      <c r="J590" s="1" t="s">
        <v>46</v>
      </c>
      <c r="M590" s="1" t="s">
        <v>756</v>
      </c>
      <c r="N590" s="1" t="s">
        <v>48</v>
      </c>
      <c r="O590" s="9"/>
      <c r="P590" s="1">
        <f>ROUNDUP(1770*(1-$F$3),2)</f>
        <v>1770</v>
      </c>
      <c r="Q590" s="1" t="s">
        <v>49</v>
      </c>
      <c r="R590" s="1" t="s">
        <v>3579</v>
      </c>
      <c r="S590" s="1" t="s">
        <v>3580</v>
      </c>
      <c r="T590" s="9">
        <v>10</v>
      </c>
      <c r="U590" s="1">
        <f>ROUNDUP(1609.09*(1-$F$3),2)</f>
        <v>1609.09</v>
      </c>
      <c r="V590" s="1">
        <v>1159</v>
      </c>
      <c r="Y590" s="1" t="s">
        <v>3581</v>
      </c>
      <c r="Z590" s="1" t="s">
        <v>128</v>
      </c>
      <c r="AA590" s="12">
        <v>44358</v>
      </c>
      <c r="AB590" s="1" t="s">
        <v>234</v>
      </c>
      <c r="AC590" s="1" t="s">
        <v>235</v>
      </c>
      <c r="AD590" s="1" t="s">
        <v>1264</v>
      </c>
      <c r="AE590" s="1" t="s">
        <v>69</v>
      </c>
      <c r="AG590" s="1">
        <v>9745010</v>
      </c>
    </row>
    <row r="591" spans="3:33" s="1" customFormat="1" x14ac:dyDescent="0.25">
      <c r="C591" s="1" t="s">
        <v>3582</v>
      </c>
      <c r="D591" s="1" t="s">
        <v>3448</v>
      </c>
      <c r="E591" s="1" t="s">
        <v>3577</v>
      </c>
      <c r="F591" s="13" t="s">
        <v>6952</v>
      </c>
      <c r="G591" s="1" t="s">
        <v>3578</v>
      </c>
      <c r="H591" s="1" t="s">
        <v>160</v>
      </c>
      <c r="I591" s="1">
        <v>1056</v>
      </c>
      <c r="J591" s="1" t="s">
        <v>46</v>
      </c>
      <c r="M591" s="1" t="s">
        <v>756</v>
      </c>
      <c r="N591" s="1" t="s">
        <v>48</v>
      </c>
      <c r="O591" s="9"/>
      <c r="P591" s="1">
        <f>ROUNDUP(1890*(1-$F$3),2)</f>
        <v>1890</v>
      </c>
      <c r="Q591" s="1" t="s">
        <v>49</v>
      </c>
      <c r="R591" s="1" t="s">
        <v>3583</v>
      </c>
      <c r="S591" s="1" t="s">
        <v>3584</v>
      </c>
      <c r="T591" s="9">
        <v>10</v>
      </c>
      <c r="U591" s="1">
        <f>ROUNDUP(1718.18*(1-$F$3),2)</f>
        <v>1718.18</v>
      </c>
      <c r="V591" s="1">
        <v>1162</v>
      </c>
      <c r="Y591" s="1" t="s">
        <v>3581</v>
      </c>
      <c r="Z591" s="1" t="s">
        <v>128</v>
      </c>
      <c r="AA591" s="12">
        <v>44399</v>
      </c>
      <c r="AB591" s="1" t="s">
        <v>234</v>
      </c>
      <c r="AC591" s="1" t="s">
        <v>235</v>
      </c>
      <c r="AD591" s="1" t="s">
        <v>1264</v>
      </c>
      <c r="AE591" s="1" t="s">
        <v>69</v>
      </c>
      <c r="AG591" s="1">
        <v>9796790</v>
      </c>
    </row>
    <row r="592" spans="3:33" s="1" customFormat="1" x14ac:dyDescent="0.25">
      <c r="C592" s="1" t="s">
        <v>3585</v>
      </c>
      <c r="D592" s="1" t="s">
        <v>3448</v>
      </c>
      <c r="E592" s="1" t="s">
        <v>3586</v>
      </c>
      <c r="F592" s="13" t="s">
        <v>6952</v>
      </c>
      <c r="G592" s="1" t="s">
        <v>3587</v>
      </c>
      <c r="H592" s="1" t="s">
        <v>160</v>
      </c>
      <c r="I592" s="1">
        <v>848</v>
      </c>
      <c r="J592" s="1" t="s">
        <v>46</v>
      </c>
      <c r="M592" s="1" t="s">
        <v>756</v>
      </c>
      <c r="N592" s="1" t="s">
        <v>48</v>
      </c>
      <c r="O592" s="9"/>
      <c r="P592" s="1">
        <f>ROUNDUP(1890*(1-$F$3),2)</f>
        <v>1890</v>
      </c>
      <c r="Q592" s="1" t="s">
        <v>49</v>
      </c>
      <c r="R592" s="1" t="s">
        <v>3588</v>
      </c>
      <c r="S592" s="1" t="s">
        <v>3589</v>
      </c>
      <c r="T592" s="9">
        <v>10</v>
      </c>
      <c r="U592" s="1">
        <f>ROUNDUP(1718.18*(1-$F$3),2)</f>
        <v>1718.18</v>
      </c>
      <c r="V592" s="1">
        <v>988</v>
      </c>
      <c r="Y592" s="1" t="s">
        <v>3590</v>
      </c>
      <c r="Z592" s="1" t="s">
        <v>128</v>
      </c>
      <c r="AA592" s="12">
        <v>44358</v>
      </c>
      <c r="AB592" s="1" t="s">
        <v>234</v>
      </c>
      <c r="AC592" s="1" t="s">
        <v>235</v>
      </c>
      <c r="AD592" s="1" t="s">
        <v>1264</v>
      </c>
      <c r="AE592" s="1" t="s">
        <v>69</v>
      </c>
      <c r="AG592" s="1">
        <v>9744960</v>
      </c>
    </row>
    <row r="593" spans="3:33" s="1" customFormat="1" x14ac:dyDescent="0.25">
      <c r="C593" s="1" t="s">
        <v>3591</v>
      </c>
      <c r="D593" s="1" t="s">
        <v>3448</v>
      </c>
      <c r="E593" s="1" t="s">
        <v>3592</v>
      </c>
      <c r="F593" s="13" t="s">
        <v>6952</v>
      </c>
      <c r="G593" s="1" t="s">
        <v>3587</v>
      </c>
      <c r="H593" s="1" t="s">
        <v>160</v>
      </c>
      <c r="I593" s="1">
        <v>848</v>
      </c>
      <c r="J593" s="1" t="s">
        <v>46</v>
      </c>
      <c r="M593" s="1" t="s">
        <v>756</v>
      </c>
      <c r="N593" s="1" t="s">
        <v>48</v>
      </c>
      <c r="O593" s="9"/>
      <c r="P593" s="1">
        <f>ROUNDUP(1770*(1-$F$3),2)</f>
        <v>1770</v>
      </c>
      <c r="Q593" s="1" t="s">
        <v>49</v>
      </c>
      <c r="R593" s="1" t="s">
        <v>3593</v>
      </c>
      <c r="S593" s="1" t="s">
        <v>3594</v>
      </c>
      <c r="T593" s="9">
        <v>10</v>
      </c>
      <c r="U593" s="1">
        <f>ROUNDUP(1609.09*(1-$F$3),2)</f>
        <v>1609.09</v>
      </c>
      <c r="V593" s="1">
        <v>985</v>
      </c>
      <c r="Y593" s="1" t="s">
        <v>3595</v>
      </c>
      <c r="Z593" s="1" t="s">
        <v>128</v>
      </c>
      <c r="AA593" s="12">
        <v>44399</v>
      </c>
      <c r="AB593" s="1" t="s">
        <v>234</v>
      </c>
      <c r="AC593" s="1" t="s">
        <v>235</v>
      </c>
      <c r="AD593" s="1" t="s">
        <v>1264</v>
      </c>
      <c r="AE593" s="1" t="s">
        <v>69</v>
      </c>
      <c r="AG593" s="1">
        <v>9796610</v>
      </c>
    </row>
    <row r="594" spans="3:33" s="1" customFormat="1" x14ac:dyDescent="0.25">
      <c r="C594" s="1" t="s">
        <v>3596</v>
      </c>
      <c r="D594" s="1" t="s">
        <v>3448</v>
      </c>
      <c r="E594" s="1" t="s">
        <v>3597</v>
      </c>
      <c r="F594" s="13" t="s">
        <v>6952</v>
      </c>
      <c r="G594" s="1" t="s">
        <v>3598</v>
      </c>
      <c r="H594" s="1" t="s">
        <v>160</v>
      </c>
      <c r="I594" s="1">
        <v>934</v>
      </c>
      <c r="J594" s="1" t="s">
        <v>46</v>
      </c>
      <c r="M594" s="1" t="s">
        <v>169</v>
      </c>
      <c r="N594" s="1" t="s">
        <v>48</v>
      </c>
      <c r="O594" s="9"/>
      <c r="P594" s="1">
        <f>ROUNDUP(1640*(1-$F$3),2)</f>
        <v>1640</v>
      </c>
      <c r="Q594" s="1" t="s">
        <v>49</v>
      </c>
      <c r="R594" s="1" t="s">
        <v>3599</v>
      </c>
      <c r="S594" s="1" t="s">
        <v>3600</v>
      </c>
      <c r="T594" s="9">
        <v>10</v>
      </c>
      <c r="U594" s="1">
        <f>ROUNDUP(1490.91*(1-$F$3),2)</f>
        <v>1490.91</v>
      </c>
      <c r="V594" s="1">
        <v>1018.9999999999999</v>
      </c>
      <c r="Y594" s="1" t="s">
        <v>3601</v>
      </c>
      <c r="Z594" s="1" t="s">
        <v>53</v>
      </c>
      <c r="AA594" s="12">
        <v>44670</v>
      </c>
      <c r="AB594" s="1" t="s">
        <v>219</v>
      </c>
      <c r="AC594" s="1" t="s">
        <v>220</v>
      </c>
      <c r="AD594" s="1" t="s">
        <v>221</v>
      </c>
      <c r="AE594" s="1" t="s">
        <v>69</v>
      </c>
      <c r="AG594" s="1">
        <v>10440790</v>
      </c>
    </row>
    <row r="595" spans="3:33" s="1" customFormat="1" x14ac:dyDescent="0.25">
      <c r="C595" s="1" t="s">
        <v>3602</v>
      </c>
      <c r="D595" s="1" t="s">
        <v>3448</v>
      </c>
      <c r="E595" s="1" t="s">
        <v>3603</v>
      </c>
      <c r="F595" s="13" t="s">
        <v>6952</v>
      </c>
      <c r="G595" s="1" t="s">
        <v>3604</v>
      </c>
      <c r="H595" s="1" t="s">
        <v>160</v>
      </c>
      <c r="I595" s="1">
        <v>1072</v>
      </c>
      <c r="J595" s="1" t="s">
        <v>46</v>
      </c>
      <c r="M595" s="1" t="s">
        <v>169</v>
      </c>
      <c r="N595" s="1" t="s">
        <v>139</v>
      </c>
      <c r="O595" s="9"/>
      <c r="P595" s="1">
        <f>ROUNDUP(1640*(1-$F$3),2)</f>
        <v>1640</v>
      </c>
      <c r="Q595" s="1" t="s">
        <v>49</v>
      </c>
      <c r="R595" s="1" t="s">
        <v>3605</v>
      </c>
      <c r="S595" s="1" t="s">
        <v>3606</v>
      </c>
      <c r="T595" s="9">
        <v>10</v>
      </c>
      <c r="U595" s="1">
        <f>ROUNDUP(1490.91*(1-$F$3),2)</f>
        <v>1490.91</v>
      </c>
      <c r="V595" s="1">
        <v>941</v>
      </c>
      <c r="Y595" s="1" t="s">
        <v>3607</v>
      </c>
      <c r="Z595" s="1" t="s">
        <v>53</v>
      </c>
      <c r="AA595" s="12">
        <v>44670</v>
      </c>
      <c r="AB595" s="1" t="s">
        <v>66</v>
      </c>
      <c r="AC595" s="1" t="s">
        <v>77</v>
      </c>
      <c r="AD595" s="1" t="s">
        <v>78</v>
      </c>
      <c r="AE595" s="1" t="s">
        <v>69</v>
      </c>
      <c r="AG595" s="1">
        <v>10440360</v>
      </c>
    </row>
    <row r="596" spans="3:33" s="1" customFormat="1" x14ac:dyDescent="0.25">
      <c r="C596" s="1" t="s">
        <v>3608</v>
      </c>
      <c r="D596" s="1" t="s">
        <v>3448</v>
      </c>
      <c r="E596" s="1" t="s">
        <v>3609</v>
      </c>
      <c r="F596" s="13" t="s">
        <v>6952</v>
      </c>
      <c r="G596" s="1" t="s">
        <v>3610</v>
      </c>
      <c r="H596" s="1" t="s">
        <v>61</v>
      </c>
      <c r="I596" s="1">
        <v>1408</v>
      </c>
      <c r="J596" s="1" t="s">
        <v>46</v>
      </c>
      <c r="M596" s="1" t="s">
        <v>169</v>
      </c>
      <c r="N596" s="1" t="s">
        <v>48</v>
      </c>
      <c r="O596" s="9"/>
      <c r="P596" s="1">
        <f>ROUNDUP(2180*(1-$F$3),2)</f>
        <v>2180</v>
      </c>
      <c r="Q596" s="1" t="s">
        <v>49</v>
      </c>
      <c r="R596" s="1" t="s">
        <v>3611</v>
      </c>
      <c r="S596" s="1" t="s">
        <v>3612</v>
      </c>
      <c r="T596" s="9">
        <v>10</v>
      </c>
      <c r="U596" s="1">
        <f>ROUNDUP(1981.82*(1-$F$3),2)</f>
        <v>1981.82</v>
      </c>
      <c r="V596" s="1">
        <v>1475</v>
      </c>
      <c r="Y596" s="1" t="s">
        <v>3613</v>
      </c>
      <c r="Z596" s="1" t="s">
        <v>53</v>
      </c>
      <c r="AA596" s="12">
        <v>44670</v>
      </c>
      <c r="AB596" s="1" t="s">
        <v>66</v>
      </c>
      <c r="AC596" s="1" t="s">
        <v>143</v>
      </c>
      <c r="AD596" s="1" t="s">
        <v>144</v>
      </c>
      <c r="AE596" s="1" t="s">
        <v>69</v>
      </c>
      <c r="AG596" s="1">
        <v>10440770</v>
      </c>
    </row>
    <row r="597" spans="3:33" s="1" customFormat="1" x14ac:dyDescent="0.25">
      <c r="C597" s="1" t="s">
        <v>3614</v>
      </c>
      <c r="D597" s="1" t="s">
        <v>3448</v>
      </c>
      <c r="E597" s="1" t="s">
        <v>3615</v>
      </c>
      <c r="F597" s="13" t="s">
        <v>6952</v>
      </c>
      <c r="G597" s="1" t="s">
        <v>3616</v>
      </c>
      <c r="H597" s="1" t="s">
        <v>61</v>
      </c>
      <c r="I597" s="1">
        <v>1039</v>
      </c>
      <c r="J597" s="1" t="s">
        <v>46</v>
      </c>
      <c r="M597" s="1" t="s">
        <v>169</v>
      </c>
      <c r="N597" s="1" t="s">
        <v>48</v>
      </c>
      <c r="O597" s="9"/>
      <c r="P597" s="1">
        <f>ROUNDUP(1300*(1-$F$3),2)</f>
        <v>1300</v>
      </c>
      <c r="Q597" s="1" t="s">
        <v>49</v>
      </c>
      <c r="R597" s="1" t="s">
        <v>3617</v>
      </c>
      <c r="S597" s="1" t="s">
        <v>3618</v>
      </c>
      <c r="T597" s="9">
        <v>10</v>
      </c>
      <c r="U597" s="1">
        <f>ROUNDUP(1181.82*(1-$F$3),2)</f>
        <v>1181.82</v>
      </c>
      <c r="V597" s="1">
        <v>1213</v>
      </c>
      <c r="Y597" s="1" t="s">
        <v>3619</v>
      </c>
      <c r="Z597" s="1" t="s">
        <v>53</v>
      </c>
      <c r="AA597" s="12">
        <v>44670</v>
      </c>
      <c r="AB597" s="1" t="s">
        <v>66</v>
      </c>
      <c r="AC597" s="1" t="s">
        <v>143</v>
      </c>
      <c r="AD597" s="1" t="s">
        <v>847</v>
      </c>
      <c r="AE597" s="1" t="s">
        <v>69</v>
      </c>
      <c r="AG597" s="1">
        <v>10440390</v>
      </c>
    </row>
    <row r="598" spans="3:33" s="1" customFormat="1" x14ac:dyDescent="0.25">
      <c r="C598" s="1" t="s">
        <v>3620</v>
      </c>
      <c r="D598" s="1" t="s">
        <v>3448</v>
      </c>
      <c r="E598" s="1" t="s">
        <v>3621</v>
      </c>
      <c r="F598" s="13" t="s">
        <v>6952</v>
      </c>
      <c r="G598" s="1" t="s">
        <v>3622</v>
      </c>
      <c r="H598" s="1" t="s">
        <v>61</v>
      </c>
      <c r="I598" s="1">
        <v>1519</v>
      </c>
      <c r="J598" s="1" t="s">
        <v>46</v>
      </c>
      <c r="M598" s="1" t="s">
        <v>169</v>
      </c>
      <c r="N598" s="1" t="s">
        <v>48</v>
      </c>
      <c r="O598" s="9"/>
      <c r="P598" s="1">
        <f>ROUNDUP(2050*(1-$F$3),2)</f>
        <v>2050</v>
      </c>
      <c r="Q598" s="1" t="s">
        <v>49</v>
      </c>
      <c r="R598" s="1" t="s">
        <v>3623</v>
      </c>
      <c r="S598" s="1" t="s">
        <v>3624</v>
      </c>
      <c r="T598" s="9">
        <v>10</v>
      </c>
      <c r="U598" s="1">
        <f>ROUNDUP(1863.64*(1-$F$3),2)</f>
        <v>1863.64</v>
      </c>
      <c r="V598" s="1">
        <v>1883</v>
      </c>
      <c r="Y598" s="1" t="s">
        <v>3625</v>
      </c>
      <c r="AA598" s="12">
        <v>44670</v>
      </c>
      <c r="AB598" s="1" t="s">
        <v>66</v>
      </c>
      <c r="AC598" s="1" t="s">
        <v>143</v>
      </c>
      <c r="AD598" s="1" t="s">
        <v>144</v>
      </c>
      <c r="AE598" s="1" t="s">
        <v>69</v>
      </c>
      <c r="AG598" s="1">
        <v>10440380</v>
      </c>
    </row>
    <row r="599" spans="3:33" s="1" customFormat="1" x14ac:dyDescent="0.25">
      <c r="C599" s="1" t="s">
        <v>3626</v>
      </c>
      <c r="D599" s="1" t="s">
        <v>3448</v>
      </c>
      <c r="E599" s="1" t="s">
        <v>3627</v>
      </c>
      <c r="F599" s="13" t="s">
        <v>6952</v>
      </c>
      <c r="G599" s="1" t="s">
        <v>3628</v>
      </c>
      <c r="H599" s="1" t="s">
        <v>61</v>
      </c>
      <c r="I599" s="1">
        <v>1344</v>
      </c>
      <c r="J599" s="1" t="s">
        <v>46</v>
      </c>
      <c r="M599" s="1" t="s">
        <v>62</v>
      </c>
      <c r="N599" s="1" t="s">
        <v>139</v>
      </c>
      <c r="O599" s="9"/>
      <c r="P599" s="1">
        <f>ROUNDUP(1573*(1-$F$3),2)</f>
        <v>1573</v>
      </c>
      <c r="Q599" s="1" t="s">
        <v>49</v>
      </c>
      <c r="R599" s="1" t="s">
        <v>3629</v>
      </c>
      <c r="S599" s="1" t="s">
        <v>3630</v>
      </c>
      <c r="T599" s="9">
        <v>10</v>
      </c>
      <c r="U599" s="1">
        <f>ROUNDUP(1430*(1-$F$3),2)</f>
        <v>1430</v>
      </c>
      <c r="V599" s="1">
        <v>1018.9999999999999</v>
      </c>
      <c r="Y599" s="1" t="s">
        <v>3631</v>
      </c>
      <c r="Z599" s="1" t="s">
        <v>53</v>
      </c>
      <c r="AA599" s="12">
        <v>45561</v>
      </c>
      <c r="AB599" s="1" t="s">
        <v>95</v>
      </c>
      <c r="AC599" s="1" t="s">
        <v>112</v>
      </c>
      <c r="AD599" s="1" t="s">
        <v>839</v>
      </c>
      <c r="AE599" s="1" t="s">
        <v>878</v>
      </c>
      <c r="AG599" s="1">
        <v>11498480</v>
      </c>
    </row>
    <row r="600" spans="3:33" s="1" customFormat="1" x14ac:dyDescent="0.25">
      <c r="C600" s="1" t="s">
        <v>3632</v>
      </c>
      <c r="D600" s="1" t="s">
        <v>3448</v>
      </c>
      <c r="E600" s="1" t="s">
        <v>3633</v>
      </c>
      <c r="F600" s="13" t="s">
        <v>6952</v>
      </c>
      <c r="G600" s="1" t="s">
        <v>3634</v>
      </c>
      <c r="H600" s="1" t="s">
        <v>61</v>
      </c>
      <c r="I600" s="1">
        <v>1648</v>
      </c>
      <c r="J600" s="1" t="s">
        <v>46</v>
      </c>
      <c r="M600" s="1" t="s">
        <v>169</v>
      </c>
      <c r="N600" s="1" t="s">
        <v>48</v>
      </c>
      <c r="O600" s="9"/>
      <c r="P600" s="1">
        <f>ROUNDUP(6160*(1-$F$3),2)</f>
        <v>6160</v>
      </c>
      <c r="Q600" s="1" t="s">
        <v>49</v>
      </c>
      <c r="R600" s="1" t="s">
        <v>3635</v>
      </c>
      <c r="S600" s="1" t="s">
        <v>3636</v>
      </c>
      <c r="T600" s="9">
        <v>10</v>
      </c>
      <c r="U600" s="1">
        <f>ROUNDUP(5600*(1-$F$3),2)</f>
        <v>5600</v>
      </c>
      <c r="V600" s="1">
        <v>2334</v>
      </c>
      <c r="Y600" s="1" t="s">
        <v>3637</v>
      </c>
      <c r="Z600" s="1" t="s">
        <v>128</v>
      </c>
      <c r="AA600" s="12">
        <v>45561</v>
      </c>
      <c r="AB600" s="1" t="s">
        <v>573</v>
      </c>
      <c r="AC600" s="1" t="s">
        <v>66</v>
      </c>
      <c r="AD600" s="1" t="s">
        <v>2756</v>
      </c>
      <c r="AE600" s="1" t="s">
        <v>69</v>
      </c>
      <c r="AG600" s="1">
        <v>11498430</v>
      </c>
    </row>
    <row r="601" spans="3:33" s="1" customFormat="1" x14ac:dyDescent="0.25">
      <c r="C601" s="1" t="s">
        <v>3638</v>
      </c>
      <c r="D601" s="1" t="s">
        <v>3448</v>
      </c>
      <c r="E601" s="1" t="s">
        <v>3639</v>
      </c>
      <c r="F601" s="13" t="s">
        <v>6952</v>
      </c>
      <c r="G601" s="1" t="s">
        <v>3640</v>
      </c>
      <c r="H601" s="1" t="s">
        <v>160</v>
      </c>
      <c r="I601" s="1">
        <v>1192</v>
      </c>
      <c r="J601" s="1" t="s">
        <v>46</v>
      </c>
      <c r="M601" s="1" t="s">
        <v>169</v>
      </c>
      <c r="N601" s="1" t="s">
        <v>48</v>
      </c>
      <c r="O601" s="9"/>
      <c r="P601" s="1">
        <f>ROUNDUP(2660*(1-$F$3),2)</f>
        <v>2660</v>
      </c>
      <c r="Q601" s="1" t="s">
        <v>49</v>
      </c>
      <c r="R601" s="1" t="s">
        <v>3641</v>
      </c>
      <c r="S601" s="1" t="s">
        <v>3642</v>
      </c>
      <c r="T601" s="9">
        <v>10</v>
      </c>
      <c r="U601" s="1">
        <f>ROUNDUP(2418.18*(1-$F$3),2)</f>
        <v>2418.1799999999998</v>
      </c>
      <c r="V601" s="1">
        <v>1299</v>
      </c>
      <c r="Y601" s="1" t="s">
        <v>3643</v>
      </c>
      <c r="Z601" s="1" t="s">
        <v>53</v>
      </c>
      <c r="AA601" s="12">
        <v>44670</v>
      </c>
      <c r="AB601" s="1" t="s">
        <v>66</v>
      </c>
      <c r="AC601" s="1" t="s">
        <v>67</v>
      </c>
      <c r="AD601" s="1" t="s">
        <v>165</v>
      </c>
      <c r="AE601" s="1" t="s">
        <v>69</v>
      </c>
      <c r="AG601" s="1">
        <v>10440780</v>
      </c>
    </row>
    <row r="602" spans="3:33" s="1" customFormat="1" x14ac:dyDescent="0.25">
      <c r="C602" s="1" t="s">
        <v>3644</v>
      </c>
      <c r="D602" s="1" t="s">
        <v>3448</v>
      </c>
      <c r="E602" s="1" t="s">
        <v>3645</v>
      </c>
      <c r="F602" s="13" t="s">
        <v>6952</v>
      </c>
      <c r="G602" s="1" t="s">
        <v>1723</v>
      </c>
      <c r="H602" s="1" t="s">
        <v>82</v>
      </c>
      <c r="I602" s="1">
        <v>1072</v>
      </c>
      <c r="J602" s="1" t="s">
        <v>46</v>
      </c>
      <c r="M602" s="1" t="s">
        <v>161</v>
      </c>
      <c r="N602" s="1" t="s">
        <v>48</v>
      </c>
      <c r="O602" s="9">
        <v>1</v>
      </c>
      <c r="P602" s="1">
        <f>ROUNDUP(2890*(1-$F$3),2)</f>
        <v>2890</v>
      </c>
      <c r="Q602" s="1" t="s">
        <v>49</v>
      </c>
      <c r="R602" s="1" t="s">
        <v>3646</v>
      </c>
      <c r="S602" s="1" t="s">
        <v>3647</v>
      </c>
      <c r="T602" s="9">
        <v>10</v>
      </c>
      <c r="U602" s="1">
        <f>ROUNDUP(2627.27*(1-$F$3),2)</f>
        <v>2627.27</v>
      </c>
      <c r="V602" s="1">
        <v>1797</v>
      </c>
      <c r="Y602" s="1" t="s">
        <v>3648</v>
      </c>
      <c r="Z602" s="1" t="s">
        <v>53</v>
      </c>
      <c r="AA602" s="12">
        <v>44973</v>
      </c>
      <c r="AB602" s="1" t="s">
        <v>334</v>
      </c>
      <c r="AC602" s="1" t="s">
        <v>892</v>
      </c>
      <c r="AD602" s="1" t="s">
        <v>893</v>
      </c>
      <c r="AE602" s="1" t="s">
        <v>69</v>
      </c>
      <c r="AG602" s="1">
        <v>10832800</v>
      </c>
    </row>
    <row r="603" spans="3:33" s="1" customFormat="1" x14ac:dyDescent="0.25">
      <c r="C603" s="1" t="s">
        <v>3649</v>
      </c>
      <c r="D603" s="1" t="s">
        <v>3448</v>
      </c>
      <c r="E603" s="1" t="s">
        <v>3650</v>
      </c>
      <c r="F603" s="13" t="s">
        <v>6952</v>
      </c>
      <c r="G603" s="1" t="s">
        <v>3491</v>
      </c>
      <c r="H603" s="1" t="s">
        <v>82</v>
      </c>
      <c r="I603" s="1">
        <v>1392</v>
      </c>
      <c r="J603" s="1" t="s">
        <v>46</v>
      </c>
      <c r="M603" s="1" t="s">
        <v>62</v>
      </c>
      <c r="N603" s="1" t="s">
        <v>48</v>
      </c>
      <c r="O603" s="9"/>
      <c r="P603" s="1">
        <f>ROUNDUP(2980*(1-$F$3),2)</f>
        <v>2980</v>
      </c>
      <c r="Q603" s="1" t="s">
        <v>49</v>
      </c>
      <c r="R603" s="1" t="s">
        <v>3651</v>
      </c>
      <c r="S603" s="1" t="s">
        <v>3652</v>
      </c>
      <c r="T603" s="9">
        <v>10</v>
      </c>
      <c r="U603" s="1">
        <f>ROUNDUP(2709.09*(1-$F$3),2)</f>
        <v>2709.09</v>
      </c>
      <c r="V603" s="1">
        <v>1461</v>
      </c>
      <c r="Y603" s="1" t="s">
        <v>3653</v>
      </c>
      <c r="Z603" s="1" t="s">
        <v>53</v>
      </c>
      <c r="AA603" s="12">
        <v>45561</v>
      </c>
      <c r="AB603" s="1" t="s">
        <v>334</v>
      </c>
      <c r="AC603" s="1" t="s">
        <v>892</v>
      </c>
      <c r="AD603" s="1" t="s">
        <v>893</v>
      </c>
      <c r="AE603" s="1" t="s">
        <v>69</v>
      </c>
      <c r="AG603" s="1">
        <v>11498460</v>
      </c>
    </row>
    <row r="604" spans="3:33" s="1" customFormat="1" x14ac:dyDescent="0.25">
      <c r="C604" s="1" t="s">
        <v>3654</v>
      </c>
      <c r="D604" s="1" t="s">
        <v>3448</v>
      </c>
      <c r="E604" s="1" t="s">
        <v>3655</v>
      </c>
      <c r="F604" s="13" t="s">
        <v>6952</v>
      </c>
      <c r="G604" s="1" t="s">
        <v>986</v>
      </c>
      <c r="H604" s="1" t="s">
        <v>160</v>
      </c>
      <c r="I604" s="1">
        <v>1552</v>
      </c>
      <c r="J604" s="1" t="s">
        <v>46</v>
      </c>
      <c r="M604" s="1" t="s">
        <v>169</v>
      </c>
      <c r="N604" s="1" t="s">
        <v>48</v>
      </c>
      <c r="O604" s="9"/>
      <c r="P604" s="1">
        <f>ROUNDUP(2660*(1-$F$3),2)</f>
        <v>2660</v>
      </c>
      <c r="Q604" s="1" t="s">
        <v>49</v>
      </c>
      <c r="R604" s="1" t="s">
        <v>3656</v>
      </c>
      <c r="S604" s="1" t="s">
        <v>3657</v>
      </c>
      <c r="T604" s="9">
        <v>10</v>
      </c>
      <c r="U604" s="1">
        <f>ROUNDUP(2418.18*(1-$F$3),2)</f>
        <v>2418.1799999999998</v>
      </c>
      <c r="V604" s="1">
        <v>1473</v>
      </c>
      <c r="Y604" s="1" t="s">
        <v>3658</v>
      </c>
      <c r="Z604" s="1" t="s">
        <v>53</v>
      </c>
      <c r="AA604" s="12">
        <v>44671</v>
      </c>
      <c r="AB604" s="1" t="s">
        <v>66</v>
      </c>
      <c r="AC604" s="1" t="s">
        <v>67</v>
      </c>
      <c r="AD604" s="1" t="s">
        <v>180</v>
      </c>
      <c r="AE604" s="1" t="s">
        <v>69</v>
      </c>
      <c r="AG604" s="1">
        <v>10442000</v>
      </c>
    </row>
    <row r="605" spans="3:33" s="1" customFormat="1" x14ac:dyDescent="0.25">
      <c r="C605" s="1" t="s">
        <v>3659</v>
      </c>
      <c r="D605" s="1" t="s">
        <v>3448</v>
      </c>
      <c r="E605" s="1" t="s">
        <v>3660</v>
      </c>
      <c r="F605" s="13" t="s">
        <v>6952</v>
      </c>
      <c r="G605" s="1" t="s">
        <v>3661</v>
      </c>
      <c r="H605" s="1" t="s">
        <v>45</v>
      </c>
      <c r="I605" s="1">
        <v>160</v>
      </c>
      <c r="J605" s="1" t="s">
        <v>46</v>
      </c>
      <c r="M605" s="1" t="s">
        <v>169</v>
      </c>
      <c r="N605" s="1" t="s">
        <v>48</v>
      </c>
      <c r="O605" s="9"/>
      <c r="P605" s="1">
        <f>ROUNDUP(3690*(1-$F$3),2)</f>
        <v>3690</v>
      </c>
      <c r="Q605" s="1" t="s">
        <v>49</v>
      </c>
      <c r="R605" s="1" t="s">
        <v>3662</v>
      </c>
      <c r="S605" s="1" t="s">
        <v>3663</v>
      </c>
      <c r="T605" s="9">
        <v>10</v>
      </c>
      <c r="U605" s="1">
        <f>ROUNDUP(3354.55*(1-$F$3),2)</f>
        <v>3354.55</v>
      </c>
      <c r="V605" s="1">
        <v>1942</v>
      </c>
      <c r="Y605" s="1" t="s">
        <v>3664</v>
      </c>
      <c r="Z605" s="1" t="s">
        <v>711</v>
      </c>
      <c r="AA605" s="12">
        <v>44655</v>
      </c>
      <c r="AB605" s="1" t="s">
        <v>573</v>
      </c>
      <c r="AC605" s="1" t="s">
        <v>66</v>
      </c>
      <c r="AD605" s="1" t="s">
        <v>2738</v>
      </c>
      <c r="AE605" s="1" t="s">
        <v>57</v>
      </c>
      <c r="AG605" s="1">
        <v>10413230</v>
      </c>
    </row>
    <row r="606" spans="3:33" s="1" customFormat="1" x14ac:dyDescent="0.25">
      <c r="C606" s="1" t="s">
        <v>3665</v>
      </c>
      <c r="D606" s="1" t="s">
        <v>3448</v>
      </c>
      <c r="E606" s="1" t="s">
        <v>3666</v>
      </c>
      <c r="F606" s="13" t="s">
        <v>6952</v>
      </c>
      <c r="G606" s="1" t="s">
        <v>3667</v>
      </c>
      <c r="H606" s="1" t="s">
        <v>61</v>
      </c>
      <c r="I606" s="1">
        <v>1503</v>
      </c>
      <c r="J606" s="1" t="s">
        <v>46</v>
      </c>
      <c r="M606" s="1" t="s">
        <v>169</v>
      </c>
      <c r="N606" s="1" t="s">
        <v>48</v>
      </c>
      <c r="O606" s="9"/>
      <c r="P606" s="1">
        <f>ROUNDUP(2050*(1-$F$3),2)</f>
        <v>2050</v>
      </c>
      <c r="Q606" s="1" t="s">
        <v>49</v>
      </c>
      <c r="R606" s="1" t="s">
        <v>3668</v>
      </c>
      <c r="S606" s="1" t="s">
        <v>3669</v>
      </c>
      <c r="T606" s="9">
        <v>10</v>
      </c>
      <c r="U606" s="1">
        <f>ROUNDUP(1863.64*(1-$F$3),2)</f>
        <v>1863.64</v>
      </c>
      <c r="V606" s="1">
        <v>1795</v>
      </c>
      <c r="Y606" s="1" t="s">
        <v>3670</v>
      </c>
      <c r="Z606" s="1" t="s">
        <v>53</v>
      </c>
      <c r="AA606" s="12">
        <v>44670</v>
      </c>
      <c r="AB606" s="1" t="s">
        <v>66</v>
      </c>
      <c r="AC606" s="1" t="s">
        <v>143</v>
      </c>
      <c r="AD606" s="1" t="s">
        <v>144</v>
      </c>
      <c r="AE606" s="1" t="s">
        <v>69</v>
      </c>
      <c r="AG606" s="1">
        <v>10440330</v>
      </c>
    </row>
    <row r="607" spans="3:33" s="1" customFormat="1" x14ac:dyDescent="0.25">
      <c r="C607" s="1" t="s">
        <v>3671</v>
      </c>
      <c r="D607" s="1" t="s">
        <v>3448</v>
      </c>
      <c r="E607" s="1" t="s">
        <v>3672</v>
      </c>
      <c r="F607" s="13" t="s">
        <v>6952</v>
      </c>
      <c r="G607" s="1" t="s">
        <v>3673</v>
      </c>
      <c r="H607" s="1" t="s">
        <v>160</v>
      </c>
      <c r="I607" s="1">
        <v>1200</v>
      </c>
      <c r="J607" s="1" t="s">
        <v>46</v>
      </c>
      <c r="M607" s="1" t="s">
        <v>169</v>
      </c>
      <c r="N607" s="1" t="s">
        <v>48</v>
      </c>
      <c r="O607" s="9"/>
      <c r="P607" s="1">
        <f>ROUNDUP(2050*(1-$F$3),2)</f>
        <v>2050</v>
      </c>
      <c r="Q607" s="1" t="s">
        <v>49</v>
      </c>
      <c r="R607" s="1" t="s">
        <v>3674</v>
      </c>
      <c r="S607" s="1" t="s">
        <v>3675</v>
      </c>
      <c r="T607" s="9">
        <v>10</v>
      </c>
      <c r="U607" s="1">
        <f>ROUNDUP(1863.64*(1-$F$3),2)</f>
        <v>1863.64</v>
      </c>
      <c r="V607" s="1">
        <v>1217</v>
      </c>
      <c r="Y607" s="1" t="s">
        <v>3676</v>
      </c>
      <c r="Z607" s="1" t="s">
        <v>53</v>
      </c>
      <c r="AA607" s="12">
        <v>44670</v>
      </c>
      <c r="AB607" s="1" t="s">
        <v>66</v>
      </c>
      <c r="AC607" s="1" t="s">
        <v>143</v>
      </c>
      <c r="AD607" s="1" t="s">
        <v>144</v>
      </c>
      <c r="AE607" s="1" t="s">
        <v>69</v>
      </c>
      <c r="AG607" s="1">
        <v>10440350</v>
      </c>
    </row>
    <row r="608" spans="3:33" s="1" customFormat="1" x14ac:dyDescent="0.25">
      <c r="C608" s="1" t="s">
        <v>3677</v>
      </c>
      <c r="D608" s="1" t="s">
        <v>3448</v>
      </c>
      <c r="E608" s="1" t="s">
        <v>3678</v>
      </c>
      <c r="F608" s="13" t="s">
        <v>6952</v>
      </c>
      <c r="G608" s="1" t="s">
        <v>3679</v>
      </c>
      <c r="H608" s="1" t="s">
        <v>82</v>
      </c>
      <c r="I608" s="1">
        <v>1520</v>
      </c>
      <c r="J608" s="1" t="s">
        <v>46</v>
      </c>
      <c r="M608" s="1" t="s">
        <v>47</v>
      </c>
      <c r="N608" s="1" t="s">
        <v>48</v>
      </c>
      <c r="O608" s="9"/>
      <c r="P608" s="1">
        <f>ROUNDUP(3270*(1-$F$3),2)</f>
        <v>3270</v>
      </c>
      <c r="Q608" s="1" t="s">
        <v>49</v>
      </c>
      <c r="R608" s="1" t="s">
        <v>3680</v>
      </c>
      <c r="S608" s="1" t="s">
        <v>3681</v>
      </c>
      <c r="T608" s="9">
        <v>10</v>
      </c>
      <c r="U608" s="1">
        <f>ROUNDUP(2972.73*(1-$F$3),2)</f>
        <v>2972.73</v>
      </c>
      <c r="V608" s="1">
        <v>1676</v>
      </c>
      <c r="Y608" s="1" t="s">
        <v>3682</v>
      </c>
      <c r="Z608" s="1" t="s">
        <v>53</v>
      </c>
      <c r="AA608" s="12">
        <v>45531</v>
      </c>
      <c r="AB608" s="1" t="s">
        <v>334</v>
      </c>
      <c r="AC608" s="1" t="s">
        <v>892</v>
      </c>
      <c r="AD608" s="1" t="s">
        <v>893</v>
      </c>
      <c r="AE608" s="1" t="s">
        <v>69</v>
      </c>
      <c r="AG608" s="1">
        <v>11451670</v>
      </c>
    </row>
    <row r="609" spans="3:33" s="1" customFormat="1" x14ac:dyDescent="0.25">
      <c r="C609" s="1" t="s">
        <v>3683</v>
      </c>
      <c r="D609" s="1" t="s">
        <v>3448</v>
      </c>
      <c r="E609" s="1" t="s">
        <v>3684</v>
      </c>
      <c r="F609" s="13" t="s">
        <v>6952</v>
      </c>
      <c r="G609" s="1" t="s">
        <v>3685</v>
      </c>
      <c r="H609" s="1" t="s">
        <v>61</v>
      </c>
      <c r="I609" s="1">
        <v>928</v>
      </c>
      <c r="J609" s="1" t="s">
        <v>46</v>
      </c>
      <c r="M609" s="1" t="s">
        <v>62</v>
      </c>
      <c r="N609" s="1" t="s">
        <v>48</v>
      </c>
      <c r="O609" s="9"/>
      <c r="P609" s="1">
        <f>ROUNDUP(2050*(1-$F$3),2)</f>
        <v>2050</v>
      </c>
      <c r="Q609" s="1" t="s">
        <v>49</v>
      </c>
      <c r="R609" s="1" t="s">
        <v>3686</v>
      </c>
      <c r="S609" s="1" t="s">
        <v>3687</v>
      </c>
      <c r="T609" s="9">
        <v>10</v>
      </c>
      <c r="U609" s="1">
        <f>ROUNDUP(1863.64*(1-$F$3),2)</f>
        <v>1863.64</v>
      </c>
      <c r="V609" s="1">
        <v>1152</v>
      </c>
      <c r="Y609" s="1" t="s">
        <v>3688</v>
      </c>
      <c r="Z609" s="1" t="s">
        <v>53</v>
      </c>
      <c r="AA609" s="12">
        <v>45561</v>
      </c>
      <c r="AB609" s="1" t="s">
        <v>66</v>
      </c>
      <c r="AC609" s="1" t="s">
        <v>67</v>
      </c>
      <c r="AD609" s="1" t="s">
        <v>68</v>
      </c>
      <c r="AE609" s="1" t="s">
        <v>69</v>
      </c>
      <c r="AG609" s="1">
        <v>11498490</v>
      </c>
    </row>
    <row r="610" spans="3:33" s="1" customFormat="1" x14ac:dyDescent="0.25">
      <c r="C610" s="1" t="s">
        <v>3689</v>
      </c>
      <c r="D610" s="1" t="s">
        <v>3448</v>
      </c>
      <c r="E610" s="1" t="s">
        <v>3690</v>
      </c>
      <c r="F610" s="13" t="s">
        <v>6952</v>
      </c>
      <c r="G610" s="1" t="s">
        <v>3691</v>
      </c>
      <c r="H610" s="1" t="s">
        <v>160</v>
      </c>
      <c r="I610" s="1">
        <v>1120</v>
      </c>
      <c r="J610" s="1" t="s">
        <v>46</v>
      </c>
      <c r="M610" s="1" t="s">
        <v>756</v>
      </c>
      <c r="N610" s="1" t="s">
        <v>48</v>
      </c>
      <c r="O610" s="9"/>
      <c r="P610" s="1">
        <f>ROUNDUP(2430*(1-$F$3),2)</f>
        <v>2430</v>
      </c>
      <c r="Q610" s="1" t="s">
        <v>49</v>
      </c>
      <c r="R610" s="1" t="s">
        <v>3692</v>
      </c>
      <c r="S610" s="1" t="s">
        <v>3693</v>
      </c>
      <c r="T610" s="9">
        <v>10</v>
      </c>
      <c r="U610" s="1">
        <f>ROUNDUP(2209.09*(1-$F$3),2)</f>
        <v>2209.09</v>
      </c>
      <c r="V610" s="1">
        <v>1211</v>
      </c>
      <c r="Y610" s="1" t="s">
        <v>3694</v>
      </c>
      <c r="Z610" s="1" t="s">
        <v>53</v>
      </c>
      <c r="AA610" s="12">
        <v>44399</v>
      </c>
      <c r="AB610" s="1" t="s">
        <v>66</v>
      </c>
      <c r="AC610" s="1" t="s">
        <v>143</v>
      </c>
      <c r="AD610" s="1" t="s">
        <v>144</v>
      </c>
      <c r="AE610" s="1" t="s">
        <v>69</v>
      </c>
      <c r="AG610" s="1">
        <v>9796810</v>
      </c>
    </row>
    <row r="611" spans="3:33" s="1" customFormat="1" x14ac:dyDescent="0.25">
      <c r="C611" s="1" t="s">
        <v>3695</v>
      </c>
      <c r="D611" s="1" t="s">
        <v>3448</v>
      </c>
      <c r="E611" s="1" t="s">
        <v>3696</v>
      </c>
      <c r="F611" s="13" t="s">
        <v>6952</v>
      </c>
      <c r="G611" s="1" t="s">
        <v>3697</v>
      </c>
      <c r="H611" s="1" t="s">
        <v>61</v>
      </c>
      <c r="I611" s="1">
        <v>1216</v>
      </c>
      <c r="J611" s="1" t="s">
        <v>46</v>
      </c>
      <c r="M611" s="1" t="s">
        <v>47</v>
      </c>
      <c r="N611" s="1" t="s">
        <v>48</v>
      </c>
      <c r="O611" s="9"/>
      <c r="P611" s="1">
        <f>ROUNDUP(1770*(1-$F$3),2)</f>
        <v>1770</v>
      </c>
      <c r="Q611" s="1" t="s">
        <v>49</v>
      </c>
      <c r="R611" s="1" t="s">
        <v>3698</v>
      </c>
      <c r="S611" s="1" t="s">
        <v>3699</v>
      </c>
      <c r="T611" s="9">
        <v>10</v>
      </c>
      <c r="U611" s="1">
        <f>ROUNDUP(1609.09*(1-$F$3),2)</f>
        <v>1609.09</v>
      </c>
      <c r="V611" s="1">
        <v>1308</v>
      </c>
      <c r="Y611" s="1" t="s">
        <v>3700</v>
      </c>
      <c r="Z611" s="1" t="s">
        <v>76</v>
      </c>
      <c r="AA611" s="12">
        <v>44246</v>
      </c>
      <c r="AB611" s="1" t="s">
        <v>66</v>
      </c>
      <c r="AC611" s="1" t="s">
        <v>143</v>
      </c>
      <c r="AD611" s="1" t="s">
        <v>194</v>
      </c>
      <c r="AE611" s="1" t="s">
        <v>69</v>
      </c>
      <c r="AG611" s="1">
        <v>9656080</v>
      </c>
    </row>
    <row r="612" spans="3:33" s="1" customFormat="1" x14ac:dyDescent="0.25">
      <c r="C612" s="1" t="s">
        <v>3701</v>
      </c>
      <c r="D612" s="1" t="s">
        <v>3448</v>
      </c>
      <c r="E612" s="1" t="s">
        <v>3702</v>
      </c>
      <c r="F612" s="13" t="s">
        <v>6952</v>
      </c>
      <c r="G612" s="1" t="s">
        <v>3661</v>
      </c>
      <c r="H612" s="1" t="s">
        <v>45</v>
      </c>
      <c r="I612" s="1">
        <v>160</v>
      </c>
      <c r="J612" s="1" t="s">
        <v>46</v>
      </c>
      <c r="M612" s="1" t="s">
        <v>169</v>
      </c>
      <c r="N612" s="1" t="s">
        <v>48</v>
      </c>
      <c r="O612" s="9"/>
      <c r="P612" s="1">
        <f>ROUNDUP(3940*(1-$F$3),2)</f>
        <v>3940</v>
      </c>
      <c r="Q612" s="1" t="s">
        <v>49</v>
      </c>
      <c r="R612" s="1" t="s">
        <v>3703</v>
      </c>
      <c r="S612" s="1" t="s">
        <v>3704</v>
      </c>
      <c r="T612" s="9">
        <v>10</v>
      </c>
      <c r="U612" s="1">
        <f>ROUNDUP(3581.82*(1-$F$3),2)</f>
        <v>3581.82</v>
      </c>
      <c r="V612" s="1">
        <v>1942</v>
      </c>
      <c r="Y612" s="1" t="s">
        <v>3705</v>
      </c>
      <c r="Z612" s="1" t="s">
        <v>1757</v>
      </c>
      <c r="AA612" s="12">
        <v>44655</v>
      </c>
      <c r="AB612" s="1" t="s">
        <v>573</v>
      </c>
      <c r="AC612" s="1" t="s">
        <v>66</v>
      </c>
      <c r="AD612" s="1" t="s">
        <v>2738</v>
      </c>
      <c r="AE612" s="1" t="s">
        <v>57</v>
      </c>
      <c r="AG612" s="1">
        <v>10413220</v>
      </c>
    </row>
    <row r="613" spans="3:33" s="1" customFormat="1" x14ac:dyDescent="0.25">
      <c r="C613" s="1" t="s">
        <v>3706</v>
      </c>
      <c r="D613" s="1" t="s">
        <v>3448</v>
      </c>
      <c r="E613" s="1" t="s">
        <v>3707</v>
      </c>
      <c r="F613" s="13" t="s">
        <v>6952</v>
      </c>
      <c r="G613" s="1" t="s">
        <v>3685</v>
      </c>
      <c r="H613" s="1" t="s">
        <v>61</v>
      </c>
      <c r="I613" s="1">
        <v>1312</v>
      </c>
      <c r="J613" s="1" t="s">
        <v>46</v>
      </c>
      <c r="M613" s="1" t="s">
        <v>62</v>
      </c>
      <c r="N613" s="1" t="s">
        <v>48</v>
      </c>
      <c r="O613" s="9"/>
      <c r="P613" s="1">
        <f>ROUNDUP(3190*(1-$F$3),2)</f>
        <v>3190</v>
      </c>
      <c r="Q613" s="1" t="s">
        <v>49</v>
      </c>
      <c r="R613" s="1" t="s">
        <v>3708</v>
      </c>
      <c r="S613" s="1" t="s">
        <v>3709</v>
      </c>
      <c r="T613" s="9">
        <v>10</v>
      </c>
      <c r="U613" s="1">
        <f>ROUNDUP(2900*(1-$F$3),2)</f>
        <v>2900</v>
      </c>
      <c r="V613" s="1">
        <v>1637</v>
      </c>
      <c r="Y613" s="1" t="s">
        <v>3710</v>
      </c>
      <c r="Z613" s="1" t="s">
        <v>53</v>
      </c>
      <c r="AA613" s="12">
        <v>45561</v>
      </c>
      <c r="AB613" s="1" t="s">
        <v>66</v>
      </c>
      <c r="AC613" s="1" t="s">
        <v>67</v>
      </c>
      <c r="AD613" s="1" t="s">
        <v>68</v>
      </c>
      <c r="AE613" s="1" t="s">
        <v>69</v>
      </c>
      <c r="AG613" s="1">
        <v>11498440</v>
      </c>
    </row>
    <row r="614" spans="3:33" s="1" customFormat="1" x14ac:dyDescent="0.25">
      <c r="C614" s="1" t="s">
        <v>3711</v>
      </c>
      <c r="D614" s="1" t="s">
        <v>3448</v>
      </c>
      <c r="E614" s="1" t="s">
        <v>3712</v>
      </c>
      <c r="F614" s="13" t="s">
        <v>6952</v>
      </c>
      <c r="G614" s="1" t="s">
        <v>3713</v>
      </c>
      <c r="H614" s="1" t="s">
        <v>61</v>
      </c>
      <c r="I614" s="1">
        <v>862</v>
      </c>
      <c r="J614" s="1" t="s">
        <v>46</v>
      </c>
      <c r="M614" s="1" t="s">
        <v>47</v>
      </c>
      <c r="N614" s="1" t="s">
        <v>48</v>
      </c>
      <c r="O614" s="9"/>
      <c r="P614" s="1">
        <f>ROUNDUP(2590*(1-$F$3),2)</f>
        <v>2590</v>
      </c>
      <c r="Q614" s="1" t="s">
        <v>49</v>
      </c>
      <c r="R614" s="1" t="s">
        <v>3714</v>
      </c>
      <c r="S614" s="1" t="s">
        <v>3715</v>
      </c>
      <c r="T614" s="9">
        <v>10</v>
      </c>
      <c r="U614" s="1">
        <f>ROUNDUP(2354.55*(1-$F$3),2)</f>
        <v>2354.5500000000002</v>
      </c>
      <c r="V614" s="1">
        <v>1173</v>
      </c>
      <c r="Y614" s="1" t="s">
        <v>3716</v>
      </c>
      <c r="Z614" s="1" t="s">
        <v>53</v>
      </c>
      <c r="AA614" s="12">
        <v>45562</v>
      </c>
      <c r="AB614" s="1" t="s">
        <v>86</v>
      </c>
      <c r="AC614" s="1" t="s">
        <v>401</v>
      </c>
      <c r="AD614" s="1" t="s">
        <v>2249</v>
      </c>
      <c r="AE614" s="1" t="s">
        <v>69</v>
      </c>
      <c r="AG614" s="1">
        <v>11498580</v>
      </c>
    </row>
    <row r="615" spans="3:33" s="1" customFormat="1" x14ac:dyDescent="0.25">
      <c r="C615" s="1" t="s">
        <v>3717</v>
      </c>
      <c r="D615" s="1" t="s">
        <v>3448</v>
      </c>
      <c r="E615" s="1" t="s">
        <v>3718</v>
      </c>
      <c r="F615" s="13" t="s">
        <v>6952</v>
      </c>
      <c r="G615" s="1" t="s">
        <v>3719</v>
      </c>
      <c r="H615" s="1" t="s">
        <v>61</v>
      </c>
      <c r="I615" s="1">
        <v>1408</v>
      </c>
      <c r="J615" s="1" t="s">
        <v>46</v>
      </c>
      <c r="M615" s="1" t="s">
        <v>161</v>
      </c>
      <c r="N615" s="1" t="s">
        <v>48</v>
      </c>
      <c r="O615" s="9"/>
      <c r="P615" s="1">
        <f>ROUNDUP(3160*(1-$F$3),2)</f>
        <v>3160</v>
      </c>
      <c r="Q615" s="1" t="s">
        <v>49</v>
      </c>
      <c r="R615" s="1" t="s">
        <v>3720</v>
      </c>
      <c r="S615" s="1" t="s">
        <v>3721</v>
      </c>
      <c r="T615" s="9">
        <v>22</v>
      </c>
      <c r="U615" s="1">
        <f>ROUNDUP(2590.16*(1-$F$3),2)</f>
        <v>2590.16</v>
      </c>
      <c r="V615" s="1">
        <v>1766</v>
      </c>
      <c r="Y615" s="1" t="s">
        <v>3722</v>
      </c>
      <c r="Z615" s="1" t="s">
        <v>76</v>
      </c>
      <c r="AA615" s="12">
        <v>45562</v>
      </c>
      <c r="AB615" s="1" t="s">
        <v>66</v>
      </c>
      <c r="AC615" s="1" t="s">
        <v>120</v>
      </c>
      <c r="AD615" s="1" t="s">
        <v>343</v>
      </c>
      <c r="AE615" s="1" t="s">
        <v>69</v>
      </c>
      <c r="AG615" s="1">
        <v>11498570</v>
      </c>
    </row>
    <row r="616" spans="3:33" s="1" customFormat="1" x14ac:dyDescent="0.25">
      <c r="C616" s="1" t="s">
        <v>3723</v>
      </c>
      <c r="D616" s="1" t="s">
        <v>3448</v>
      </c>
      <c r="E616" s="1" t="s">
        <v>3724</v>
      </c>
      <c r="F616" s="13" t="s">
        <v>6952</v>
      </c>
      <c r="G616" s="1" t="s">
        <v>3725</v>
      </c>
      <c r="H616" s="1" t="s">
        <v>61</v>
      </c>
      <c r="I616" s="1">
        <v>1120</v>
      </c>
      <c r="J616" s="1" t="s">
        <v>46</v>
      </c>
      <c r="M616" s="1" t="s">
        <v>756</v>
      </c>
      <c r="N616" s="1" t="s">
        <v>48</v>
      </c>
      <c r="O616" s="9"/>
      <c r="P616" s="1">
        <f>ROUNDUP(2210*(1-$F$3),2)</f>
        <v>2210</v>
      </c>
      <c r="Q616" s="1" t="s">
        <v>49</v>
      </c>
      <c r="R616" s="1" t="s">
        <v>3726</v>
      </c>
      <c r="S616" s="1" t="s">
        <v>3727</v>
      </c>
      <c r="T616" s="9">
        <v>10</v>
      </c>
      <c r="U616" s="1">
        <f>ROUNDUP(2009.09*(1-$F$3),2)</f>
        <v>2009.09</v>
      </c>
      <c r="V616" s="1">
        <v>1281</v>
      </c>
      <c r="Y616" s="1" t="s">
        <v>3728</v>
      </c>
      <c r="Z616" s="1" t="s">
        <v>76</v>
      </c>
      <c r="AA616" s="12">
        <v>44246</v>
      </c>
      <c r="AB616" s="1" t="s">
        <v>66</v>
      </c>
      <c r="AC616" s="1" t="s">
        <v>120</v>
      </c>
      <c r="AD616" s="1" t="s">
        <v>121</v>
      </c>
      <c r="AE616" s="1" t="s">
        <v>69</v>
      </c>
      <c r="AG616" s="1">
        <v>9656090</v>
      </c>
    </row>
    <row r="617" spans="3:33" s="1" customFormat="1" x14ac:dyDescent="0.25">
      <c r="C617" s="1" t="s">
        <v>3729</v>
      </c>
      <c r="D617" s="1" t="s">
        <v>3730</v>
      </c>
      <c r="E617" s="1" t="s">
        <v>3731</v>
      </c>
      <c r="F617" s="13" t="s">
        <v>6952</v>
      </c>
      <c r="G617" s="1" t="s">
        <v>1623</v>
      </c>
      <c r="H617" s="1" t="s">
        <v>61</v>
      </c>
      <c r="I617" s="1">
        <v>383</v>
      </c>
      <c r="J617" s="1" t="s">
        <v>46</v>
      </c>
      <c r="K617" s="1" t="s">
        <v>1566</v>
      </c>
      <c r="M617" s="1" t="s">
        <v>1061</v>
      </c>
      <c r="N617" s="1" t="s">
        <v>139</v>
      </c>
      <c r="O617" s="9">
        <v>14</v>
      </c>
      <c r="P617" s="1">
        <f>ROUNDUP(1090*(1-$F$3),2)</f>
        <v>1090</v>
      </c>
      <c r="Q617" s="1" t="s">
        <v>49</v>
      </c>
      <c r="R617" s="1" t="s">
        <v>3732</v>
      </c>
      <c r="S617" s="1" t="s">
        <v>3733</v>
      </c>
      <c r="T617" s="9">
        <v>10</v>
      </c>
      <c r="U617" s="1">
        <f>ROUNDUP(990.91*(1-$F$3),2)</f>
        <v>990.91</v>
      </c>
      <c r="V617" s="1">
        <v>411</v>
      </c>
      <c r="Y617" s="1" t="s">
        <v>3734</v>
      </c>
      <c r="Z617" s="1" t="s">
        <v>76</v>
      </c>
      <c r="AA617" s="12">
        <v>43647</v>
      </c>
      <c r="AB617" s="1" t="s">
        <v>66</v>
      </c>
      <c r="AC617" s="1" t="s">
        <v>143</v>
      </c>
      <c r="AD617" s="1" t="s">
        <v>144</v>
      </c>
      <c r="AE617" s="1" t="s">
        <v>69</v>
      </c>
      <c r="AG617" s="1">
        <v>9086360</v>
      </c>
    </row>
    <row r="618" spans="3:33" s="1" customFormat="1" x14ac:dyDescent="0.25">
      <c r="C618" s="1" t="s">
        <v>3735</v>
      </c>
      <c r="D618" s="1" t="s">
        <v>3736</v>
      </c>
      <c r="E618" s="1" t="s">
        <v>3737</v>
      </c>
      <c r="F618" s="13" t="s">
        <v>6952</v>
      </c>
      <c r="G618" s="1" t="s">
        <v>3738</v>
      </c>
      <c r="H618" s="1" t="s">
        <v>61</v>
      </c>
      <c r="I618" s="1">
        <v>800</v>
      </c>
      <c r="J618" s="1" t="s">
        <v>46</v>
      </c>
      <c r="M618" s="1" t="s">
        <v>176</v>
      </c>
      <c r="N618" s="1" t="s">
        <v>48</v>
      </c>
      <c r="O618" s="9">
        <v>3</v>
      </c>
      <c r="P618" s="1">
        <f>ROUNDUP(3300*(1-$F$3),2)</f>
        <v>3300</v>
      </c>
      <c r="Q618" s="1" t="s">
        <v>49</v>
      </c>
      <c r="R618" s="1" t="s">
        <v>3739</v>
      </c>
      <c r="S618" s="1" t="s">
        <v>3740</v>
      </c>
      <c r="T618" s="9">
        <v>10</v>
      </c>
      <c r="U618" s="1">
        <f>ROUNDUP(3000*(1-$F$3),2)</f>
        <v>3000</v>
      </c>
      <c r="V618" s="1">
        <v>918</v>
      </c>
      <c r="Y618" s="1" t="s">
        <v>3741</v>
      </c>
      <c r="Z618" s="1" t="s">
        <v>128</v>
      </c>
      <c r="AA618" s="12">
        <v>45417</v>
      </c>
      <c r="AB618" s="1" t="s">
        <v>286</v>
      </c>
      <c r="AC618" s="1" t="s">
        <v>719</v>
      </c>
      <c r="AD618" s="1" t="s">
        <v>720</v>
      </c>
      <c r="AE618" s="1" t="s">
        <v>69</v>
      </c>
      <c r="AG618" s="1">
        <v>11276450</v>
      </c>
    </row>
    <row r="619" spans="3:33" s="1" customFormat="1" x14ac:dyDescent="0.25">
      <c r="C619" s="1" t="s">
        <v>3742</v>
      </c>
      <c r="D619" s="1" t="s">
        <v>3743</v>
      </c>
      <c r="E619" s="1" t="s">
        <v>3744</v>
      </c>
      <c r="F619" s="13" t="s">
        <v>6952</v>
      </c>
      <c r="G619" s="1" t="s">
        <v>3745</v>
      </c>
      <c r="H619" s="1" t="s">
        <v>160</v>
      </c>
      <c r="I619" s="1">
        <v>288</v>
      </c>
      <c r="J619" s="1" t="s">
        <v>46</v>
      </c>
      <c r="M619" s="1" t="s">
        <v>835</v>
      </c>
      <c r="N619" s="1" t="s">
        <v>48</v>
      </c>
      <c r="O619" s="9">
        <v>14</v>
      </c>
      <c r="P619" s="1">
        <f>ROUNDUP(1000*(1-$F$3),2)</f>
        <v>1000</v>
      </c>
      <c r="Q619" s="1" t="s">
        <v>49</v>
      </c>
      <c r="R619" s="1" t="s">
        <v>3746</v>
      </c>
      <c r="S619" s="1" t="s">
        <v>3747</v>
      </c>
      <c r="T619" s="9">
        <v>10</v>
      </c>
      <c r="U619" s="1">
        <f>ROUNDUP(909.09*(1-$F$3),2)</f>
        <v>909.09</v>
      </c>
      <c r="V619" s="1">
        <v>316</v>
      </c>
      <c r="Y619" s="1" t="s">
        <v>3748</v>
      </c>
      <c r="Z619" s="1" t="s">
        <v>53</v>
      </c>
      <c r="AA619" s="12">
        <v>43868</v>
      </c>
      <c r="AB619" s="1" t="s">
        <v>66</v>
      </c>
      <c r="AC619" s="1" t="s">
        <v>120</v>
      </c>
      <c r="AD619" s="1" t="s">
        <v>121</v>
      </c>
      <c r="AE619" s="1" t="s">
        <v>69</v>
      </c>
      <c r="AG619" s="1">
        <v>9287070</v>
      </c>
    </row>
    <row r="620" spans="3:33" s="1" customFormat="1" x14ac:dyDescent="0.25">
      <c r="C620" s="1" t="s">
        <v>3749</v>
      </c>
      <c r="D620" s="1" t="s">
        <v>3743</v>
      </c>
      <c r="E620" s="1" t="s">
        <v>3750</v>
      </c>
      <c r="F620" s="13" t="s">
        <v>6952</v>
      </c>
      <c r="G620" s="1" t="s">
        <v>3745</v>
      </c>
      <c r="H620" s="1" t="s">
        <v>160</v>
      </c>
      <c r="I620" s="1">
        <v>320</v>
      </c>
      <c r="J620" s="1" t="s">
        <v>46</v>
      </c>
      <c r="M620" s="1" t="s">
        <v>835</v>
      </c>
      <c r="N620" s="1" t="s">
        <v>48</v>
      </c>
      <c r="O620" s="9">
        <v>12</v>
      </c>
      <c r="P620" s="1">
        <f>ROUNDUP(1020*(1-$F$3),2)</f>
        <v>1020</v>
      </c>
      <c r="Q620" s="1" t="s">
        <v>49</v>
      </c>
      <c r="R620" s="1" t="s">
        <v>3751</v>
      </c>
      <c r="S620" s="1" t="s">
        <v>3752</v>
      </c>
      <c r="T620" s="9">
        <v>10</v>
      </c>
      <c r="U620" s="1">
        <f>ROUNDUP(927.27*(1-$F$3),2)</f>
        <v>927.27</v>
      </c>
      <c r="V620" s="1">
        <v>344</v>
      </c>
      <c r="Y620" s="1" t="s">
        <v>3753</v>
      </c>
      <c r="Z620" s="1" t="s">
        <v>53</v>
      </c>
      <c r="AA620" s="12">
        <v>44075</v>
      </c>
      <c r="AB620" s="1" t="s">
        <v>66</v>
      </c>
      <c r="AC620" s="1" t="s">
        <v>143</v>
      </c>
      <c r="AD620" s="1" t="s">
        <v>847</v>
      </c>
      <c r="AE620" s="1" t="s">
        <v>69</v>
      </c>
      <c r="AG620" s="1">
        <v>9471970</v>
      </c>
    </row>
    <row r="621" spans="3:33" s="1" customFormat="1" x14ac:dyDescent="0.25">
      <c r="C621" s="1" t="s">
        <v>3754</v>
      </c>
      <c r="D621" s="1" t="s">
        <v>3743</v>
      </c>
      <c r="E621" s="1" t="s">
        <v>3755</v>
      </c>
      <c r="F621" s="13" t="s">
        <v>6952</v>
      </c>
      <c r="G621" s="1" t="s">
        <v>3745</v>
      </c>
      <c r="H621" s="1" t="s">
        <v>160</v>
      </c>
      <c r="I621" s="1">
        <v>304</v>
      </c>
      <c r="J621" s="1" t="s">
        <v>46</v>
      </c>
      <c r="M621" s="1" t="s">
        <v>756</v>
      </c>
      <c r="N621" s="1" t="s">
        <v>48</v>
      </c>
      <c r="O621" s="9">
        <v>12</v>
      </c>
      <c r="P621" s="1">
        <f>ROUNDUP(940*(1-$F$3),2)</f>
        <v>940</v>
      </c>
      <c r="Q621" s="1" t="s">
        <v>49</v>
      </c>
      <c r="R621" s="1" t="s">
        <v>3756</v>
      </c>
      <c r="S621" s="1" t="s">
        <v>3757</v>
      </c>
      <c r="T621" s="9">
        <v>10</v>
      </c>
      <c r="U621" s="1">
        <f>ROUNDUP(854.55*(1-$F$3),2)</f>
        <v>854.55</v>
      </c>
      <c r="V621" s="1">
        <v>327</v>
      </c>
      <c r="Y621" s="1" t="s">
        <v>3758</v>
      </c>
      <c r="Z621" s="1" t="s">
        <v>53</v>
      </c>
      <c r="AA621" s="12">
        <v>44339</v>
      </c>
      <c r="AB621" s="1" t="s">
        <v>66</v>
      </c>
      <c r="AC621" s="1" t="s">
        <v>120</v>
      </c>
      <c r="AD621" s="1" t="s">
        <v>121</v>
      </c>
      <c r="AE621" s="1" t="s">
        <v>2569</v>
      </c>
      <c r="AG621" s="1">
        <v>9689840</v>
      </c>
    </row>
    <row r="622" spans="3:33" s="1" customFormat="1" x14ac:dyDescent="0.25">
      <c r="C622" s="1" t="s">
        <v>3759</v>
      </c>
      <c r="D622" s="1" t="s">
        <v>3760</v>
      </c>
      <c r="E622" s="1" t="s">
        <v>3761</v>
      </c>
      <c r="F622" s="13" t="s">
        <v>6952</v>
      </c>
      <c r="G622" s="1" t="s">
        <v>3762</v>
      </c>
      <c r="H622" s="1" t="s">
        <v>637</v>
      </c>
      <c r="I622" s="1">
        <v>336</v>
      </c>
      <c r="J622" s="1" t="s">
        <v>46</v>
      </c>
      <c r="M622" s="1" t="s">
        <v>169</v>
      </c>
      <c r="N622" s="1" t="s">
        <v>48</v>
      </c>
      <c r="O622" s="9">
        <v>6</v>
      </c>
      <c r="P622" s="1">
        <f>ROUNDUP(1300*(1-$F$3),2)</f>
        <v>1300</v>
      </c>
      <c r="Q622" s="1" t="s">
        <v>49</v>
      </c>
      <c r="R622" s="1" t="s">
        <v>3763</v>
      </c>
      <c r="S622" s="1" t="s">
        <v>3764</v>
      </c>
      <c r="T622" s="9">
        <v>10</v>
      </c>
      <c r="U622" s="1">
        <f>ROUNDUP(1181.82*(1-$F$3),2)</f>
        <v>1181.82</v>
      </c>
      <c r="V622" s="1">
        <v>569</v>
      </c>
      <c r="Y622" s="1" t="s">
        <v>3765</v>
      </c>
      <c r="Z622" s="1" t="s">
        <v>76</v>
      </c>
      <c r="AA622" s="12">
        <v>44238</v>
      </c>
      <c r="AB622" s="1" t="s">
        <v>66</v>
      </c>
      <c r="AC622" s="1" t="s">
        <v>67</v>
      </c>
      <c r="AD622" s="1" t="s">
        <v>68</v>
      </c>
      <c r="AE622" s="1" t="s">
        <v>69</v>
      </c>
      <c r="AG622" s="1">
        <v>9620180</v>
      </c>
    </row>
    <row r="623" spans="3:33" s="1" customFormat="1" x14ac:dyDescent="0.25">
      <c r="C623" s="1" t="s">
        <v>3766</v>
      </c>
      <c r="D623" s="1" t="s">
        <v>3760</v>
      </c>
      <c r="E623" s="1" t="s">
        <v>3767</v>
      </c>
      <c r="F623" s="13" t="s">
        <v>6952</v>
      </c>
      <c r="G623" s="1" t="s">
        <v>3762</v>
      </c>
      <c r="H623" s="1" t="s">
        <v>637</v>
      </c>
      <c r="I623" s="1">
        <v>416</v>
      </c>
      <c r="J623" s="1" t="s">
        <v>46</v>
      </c>
      <c r="M623" s="1" t="s">
        <v>161</v>
      </c>
      <c r="N623" s="1" t="s">
        <v>48</v>
      </c>
      <c r="O623" s="9">
        <v>6</v>
      </c>
      <c r="P623" s="1">
        <f>ROUNDUP(1540*(1-$F$3),2)</f>
        <v>1540</v>
      </c>
      <c r="Q623" s="1" t="s">
        <v>49</v>
      </c>
      <c r="R623" s="1" t="s">
        <v>3768</v>
      </c>
      <c r="S623" s="1" t="s">
        <v>3769</v>
      </c>
      <c r="T623" s="9">
        <v>10</v>
      </c>
      <c r="U623" s="1">
        <f>ROUNDUP(1400*(1-$F$3),2)</f>
        <v>1400</v>
      </c>
      <c r="V623" s="1">
        <v>686</v>
      </c>
      <c r="Y623" s="1" t="s">
        <v>3770</v>
      </c>
      <c r="Z623" s="1" t="s">
        <v>53</v>
      </c>
      <c r="AA623" s="12">
        <v>45193</v>
      </c>
      <c r="AB623" s="1" t="s">
        <v>66</v>
      </c>
      <c r="AC623" s="1" t="s">
        <v>67</v>
      </c>
      <c r="AD623" s="1" t="s">
        <v>180</v>
      </c>
      <c r="AE623" s="1" t="s">
        <v>69</v>
      </c>
      <c r="AG623" s="1">
        <v>11067770</v>
      </c>
    </row>
    <row r="624" spans="3:33" s="1" customFormat="1" x14ac:dyDescent="0.25">
      <c r="C624" s="1" t="s">
        <v>3771</v>
      </c>
      <c r="D624" s="1" t="s">
        <v>3760</v>
      </c>
      <c r="E624" s="1" t="s">
        <v>3772</v>
      </c>
      <c r="F624" s="13" t="s">
        <v>6952</v>
      </c>
      <c r="G624" s="1" t="s">
        <v>3762</v>
      </c>
      <c r="H624" s="1" t="s">
        <v>637</v>
      </c>
      <c r="I624" s="1">
        <v>240</v>
      </c>
      <c r="J624" s="1" t="s">
        <v>46</v>
      </c>
      <c r="M624" s="1" t="s">
        <v>169</v>
      </c>
      <c r="N624" s="1" t="s">
        <v>48</v>
      </c>
      <c r="O624" s="9">
        <v>7</v>
      </c>
      <c r="P624" s="1">
        <f>ROUNDUP(1500*(1-$F$3),2)</f>
        <v>1500</v>
      </c>
      <c r="Q624" s="1" t="s">
        <v>49</v>
      </c>
      <c r="R624" s="1" t="s">
        <v>3773</v>
      </c>
      <c r="S624" s="1" t="s">
        <v>3774</v>
      </c>
      <c r="T624" s="9">
        <v>22</v>
      </c>
      <c r="U624" s="1">
        <f>ROUNDUP(1229.51*(1-$F$3),2)</f>
        <v>1229.51</v>
      </c>
      <c r="V624" s="1">
        <v>537</v>
      </c>
      <c r="Y624" s="1" t="s">
        <v>3775</v>
      </c>
      <c r="Z624" s="1" t="s">
        <v>76</v>
      </c>
      <c r="AA624" s="12">
        <v>44603</v>
      </c>
      <c r="AB624" s="1" t="s">
        <v>66</v>
      </c>
      <c r="AC624" s="1" t="s">
        <v>143</v>
      </c>
      <c r="AD624" s="1" t="s">
        <v>847</v>
      </c>
      <c r="AE624" s="1" t="s">
        <v>69</v>
      </c>
      <c r="AG624" s="1">
        <v>10236550</v>
      </c>
    </row>
    <row r="625" spans="1:33" s="1" customFormat="1" x14ac:dyDescent="0.25">
      <c r="C625" s="1" t="s">
        <v>3776</v>
      </c>
      <c r="D625" s="1" t="s">
        <v>953</v>
      </c>
      <c r="E625" s="1" t="s">
        <v>3777</v>
      </c>
      <c r="F625" s="13" t="s">
        <v>6952</v>
      </c>
      <c r="G625" s="1" t="s">
        <v>3778</v>
      </c>
      <c r="H625" s="1" t="s">
        <v>3779</v>
      </c>
      <c r="I625" s="1">
        <v>448</v>
      </c>
      <c r="J625" s="1" t="s">
        <v>46</v>
      </c>
      <c r="M625" s="1" t="s">
        <v>756</v>
      </c>
      <c r="N625" s="1" t="s">
        <v>48</v>
      </c>
      <c r="O625" s="9">
        <v>8</v>
      </c>
      <c r="P625" s="1">
        <f>ROUNDUP(1240*(1-$F$3),2)</f>
        <v>1240</v>
      </c>
      <c r="Q625" s="1" t="s">
        <v>49</v>
      </c>
      <c r="R625" s="1" t="s">
        <v>3780</v>
      </c>
      <c r="S625" s="1" t="s">
        <v>3781</v>
      </c>
      <c r="T625" s="9">
        <v>10</v>
      </c>
      <c r="U625" s="1">
        <f>ROUNDUP(1127.27*(1-$F$3),2)</f>
        <v>1127.27</v>
      </c>
      <c r="V625" s="1">
        <v>466</v>
      </c>
      <c r="Y625" s="1" t="s">
        <v>3782</v>
      </c>
      <c r="Z625" s="1" t="s">
        <v>53</v>
      </c>
      <c r="AA625" s="12">
        <v>44417</v>
      </c>
      <c r="AB625" s="1" t="s">
        <v>66</v>
      </c>
      <c r="AC625" s="1" t="s">
        <v>120</v>
      </c>
      <c r="AD625" s="1" t="s">
        <v>121</v>
      </c>
      <c r="AE625" s="1" t="s">
        <v>69</v>
      </c>
      <c r="AG625" s="1">
        <v>9735160</v>
      </c>
    </row>
    <row r="626" spans="1:33" s="1" customFormat="1" x14ac:dyDescent="0.25">
      <c r="C626" s="1" t="s">
        <v>3783</v>
      </c>
      <c r="D626" s="1" t="s">
        <v>953</v>
      </c>
      <c r="E626" s="1" t="s">
        <v>3784</v>
      </c>
      <c r="F626" s="13" t="s">
        <v>6952</v>
      </c>
      <c r="G626" s="1" t="s">
        <v>3778</v>
      </c>
      <c r="H626" s="1" t="s">
        <v>61</v>
      </c>
      <c r="I626" s="1">
        <v>640</v>
      </c>
      <c r="J626" s="1" t="s">
        <v>46</v>
      </c>
      <c r="M626" s="1" t="s">
        <v>169</v>
      </c>
      <c r="N626" s="1" t="s">
        <v>48</v>
      </c>
      <c r="O626" s="9">
        <v>6</v>
      </c>
      <c r="P626" s="1">
        <f>ROUNDUP(1750*(1-$F$3),2)</f>
        <v>1750</v>
      </c>
      <c r="Q626" s="1" t="s">
        <v>49</v>
      </c>
      <c r="R626" s="1" t="s">
        <v>3785</v>
      </c>
      <c r="S626" s="1" t="s">
        <v>3786</v>
      </c>
      <c r="T626" s="9">
        <v>10</v>
      </c>
      <c r="U626" s="1">
        <f>ROUNDUP(1590.91*(1-$F$3),2)</f>
        <v>1590.91</v>
      </c>
      <c r="V626" s="1">
        <v>742</v>
      </c>
      <c r="Y626" s="1" t="s">
        <v>3787</v>
      </c>
      <c r="Z626" s="1" t="s">
        <v>53</v>
      </c>
      <c r="AA626" s="12">
        <v>44606</v>
      </c>
      <c r="AB626" s="1" t="s">
        <v>66</v>
      </c>
      <c r="AC626" s="1" t="s">
        <v>143</v>
      </c>
      <c r="AD626" s="1" t="s">
        <v>847</v>
      </c>
      <c r="AE626" s="1" t="s">
        <v>69</v>
      </c>
      <c r="AG626" s="1">
        <v>10169380</v>
      </c>
    </row>
    <row r="627" spans="1:33" s="1" customFormat="1" x14ac:dyDescent="0.25">
      <c r="C627" s="1" t="s">
        <v>3788</v>
      </c>
      <c r="D627" s="1" t="s">
        <v>953</v>
      </c>
      <c r="E627" s="1" t="s">
        <v>3789</v>
      </c>
      <c r="F627" s="13" t="s">
        <v>6952</v>
      </c>
      <c r="G627" s="1" t="s">
        <v>3778</v>
      </c>
      <c r="H627" s="1" t="s">
        <v>160</v>
      </c>
      <c r="I627" s="1">
        <v>624</v>
      </c>
      <c r="J627" s="1" t="s">
        <v>46</v>
      </c>
      <c r="M627" s="1" t="s">
        <v>756</v>
      </c>
      <c r="N627" s="1" t="s">
        <v>48</v>
      </c>
      <c r="O627" s="9">
        <v>6</v>
      </c>
      <c r="P627" s="1">
        <f>ROUNDUP(1180*(1-$F$3),2)</f>
        <v>1180</v>
      </c>
      <c r="Q627" s="1" t="s">
        <v>49</v>
      </c>
      <c r="R627" s="1" t="s">
        <v>3790</v>
      </c>
      <c r="S627" s="1" t="s">
        <v>3791</v>
      </c>
      <c r="T627" s="9">
        <v>10</v>
      </c>
      <c r="U627" s="1">
        <f>ROUNDUP(1072.73*(1-$F$3),2)</f>
        <v>1072.73</v>
      </c>
      <c r="V627" s="1">
        <v>613</v>
      </c>
      <c r="Y627" s="1" t="s">
        <v>3792</v>
      </c>
      <c r="Z627" s="1" t="s">
        <v>53</v>
      </c>
      <c r="AA627" s="12">
        <v>44493</v>
      </c>
      <c r="AB627" s="1" t="s">
        <v>66</v>
      </c>
      <c r="AC627" s="1" t="s">
        <v>491</v>
      </c>
      <c r="AD627" s="1" t="s">
        <v>492</v>
      </c>
      <c r="AE627" s="1" t="s">
        <v>69</v>
      </c>
      <c r="AG627" s="1">
        <v>9837290</v>
      </c>
    </row>
    <row r="628" spans="1:33" s="1" customFormat="1" x14ac:dyDescent="0.25">
      <c r="C628" s="1" t="s">
        <v>3793</v>
      </c>
      <c r="D628" s="1" t="s">
        <v>953</v>
      </c>
      <c r="E628" s="1" t="s">
        <v>3794</v>
      </c>
      <c r="F628" s="13" t="s">
        <v>6952</v>
      </c>
      <c r="G628" s="1" t="s">
        <v>3778</v>
      </c>
      <c r="H628" s="1" t="s">
        <v>61</v>
      </c>
      <c r="I628" s="1">
        <v>352</v>
      </c>
      <c r="J628" s="1" t="s">
        <v>46</v>
      </c>
      <c r="M628" s="1" t="s">
        <v>169</v>
      </c>
      <c r="N628" s="1" t="s">
        <v>48</v>
      </c>
      <c r="O628" s="9">
        <v>10</v>
      </c>
      <c r="P628" s="1">
        <f>ROUNDUP(1100*(1-$F$3),2)</f>
        <v>1100</v>
      </c>
      <c r="Q628" s="1" t="s">
        <v>49</v>
      </c>
      <c r="R628" s="1" t="s">
        <v>3795</v>
      </c>
      <c r="S628" s="1" t="s">
        <v>3796</v>
      </c>
      <c r="T628" s="9">
        <v>10</v>
      </c>
      <c r="U628" s="1">
        <f>ROUNDUP(1000*(1-$F$3),2)</f>
        <v>1000</v>
      </c>
      <c r="V628" s="1">
        <v>508</v>
      </c>
      <c r="Y628" s="1" t="s">
        <v>3797</v>
      </c>
      <c r="Z628" s="1" t="s">
        <v>53</v>
      </c>
      <c r="AA628" s="12">
        <v>44503</v>
      </c>
      <c r="AB628" s="1" t="s">
        <v>66</v>
      </c>
      <c r="AC628" s="1" t="s">
        <v>491</v>
      </c>
      <c r="AD628" s="1" t="s">
        <v>492</v>
      </c>
      <c r="AE628" s="1" t="s">
        <v>69</v>
      </c>
      <c r="AG628" s="1">
        <v>9972770</v>
      </c>
    </row>
    <row r="629" spans="1:33" s="1" customFormat="1" x14ac:dyDescent="0.25">
      <c r="C629" s="1" t="s">
        <v>3798</v>
      </c>
      <c r="D629" s="1" t="s">
        <v>3799</v>
      </c>
      <c r="E629" s="1" t="s">
        <v>3800</v>
      </c>
      <c r="F629" s="13" t="s">
        <v>6952</v>
      </c>
      <c r="G629" s="1" t="s">
        <v>3801</v>
      </c>
      <c r="H629" s="1" t="s">
        <v>3802</v>
      </c>
      <c r="I629" s="1">
        <v>147</v>
      </c>
      <c r="J629" s="1" t="s">
        <v>46</v>
      </c>
      <c r="M629" s="1" t="s">
        <v>1061</v>
      </c>
      <c r="N629" s="1" t="s">
        <v>139</v>
      </c>
      <c r="O629" s="9">
        <v>20</v>
      </c>
      <c r="P629" s="1">
        <f>ROUNDUP(660*(1-$F$3),2)</f>
        <v>660</v>
      </c>
      <c r="Q629" s="1" t="s">
        <v>49</v>
      </c>
      <c r="R629" s="1" t="s">
        <v>3803</v>
      </c>
      <c r="S629" s="1" t="s">
        <v>3804</v>
      </c>
      <c r="T629" s="9">
        <v>10</v>
      </c>
      <c r="U629" s="1">
        <f>ROUNDUP(600*(1-$F$3),2)</f>
        <v>600</v>
      </c>
      <c r="V629" s="1">
        <v>149</v>
      </c>
      <c r="Y629" s="1" t="s">
        <v>3805</v>
      </c>
      <c r="Z629" s="1" t="s">
        <v>128</v>
      </c>
      <c r="AA629" s="12">
        <v>43432</v>
      </c>
      <c r="AB629" s="1" t="s">
        <v>445</v>
      </c>
      <c r="AC629" s="1" t="s">
        <v>737</v>
      </c>
      <c r="AD629" s="1" t="s">
        <v>738</v>
      </c>
      <c r="AE629" s="1" t="s">
        <v>57</v>
      </c>
      <c r="AG629" s="1">
        <v>8828150</v>
      </c>
    </row>
    <row r="630" spans="1:33" s="1" customFormat="1" x14ac:dyDescent="0.25">
      <c r="C630" s="1" t="s">
        <v>3806</v>
      </c>
      <c r="D630" s="1" t="s">
        <v>3799</v>
      </c>
      <c r="E630" s="1" t="s">
        <v>3807</v>
      </c>
      <c r="F630" s="13" t="s">
        <v>6952</v>
      </c>
      <c r="G630" s="1" t="s">
        <v>3801</v>
      </c>
      <c r="H630" s="1" t="s">
        <v>3802</v>
      </c>
      <c r="I630" s="1">
        <v>112</v>
      </c>
      <c r="J630" s="1" t="s">
        <v>46</v>
      </c>
      <c r="M630" s="1" t="s">
        <v>835</v>
      </c>
      <c r="N630" s="1" t="s">
        <v>139</v>
      </c>
      <c r="O630" s="9">
        <v>30</v>
      </c>
      <c r="P630" s="1">
        <f>ROUNDUP(520*(1-$F$3),2)</f>
        <v>520</v>
      </c>
      <c r="Q630" s="1" t="s">
        <v>49</v>
      </c>
      <c r="R630" s="1" t="s">
        <v>3808</v>
      </c>
      <c r="S630" s="1" t="s">
        <v>3809</v>
      </c>
      <c r="T630" s="9">
        <v>10</v>
      </c>
      <c r="U630" s="1">
        <f>ROUNDUP(472.73*(1-$F$3),2)</f>
        <v>472.73</v>
      </c>
      <c r="V630" s="1">
        <v>106</v>
      </c>
      <c r="Y630" s="1" t="s">
        <v>3810</v>
      </c>
      <c r="Z630" s="1" t="s">
        <v>128</v>
      </c>
      <c r="AA630" s="12">
        <v>42846</v>
      </c>
      <c r="AB630" s="1" t="s">
        <v>445</v>
      </c>
      <c r="AC630" s="1" t="s">
        <v>737</v>
      </c>
      <c r="AD630" s="1" t="s">
        <v>738</v>
      </c>
      <c r="AE630" s="1" t="s">
        <v>57</v>
      </c>
      <c r="AG630" s="1">
        <v>8138820</v>
      </c>
    </row>
    <row r="631" spans="1:33" s="1" customFormat="1" x14ac:dyDescent="0.25">
      <c r="C631" s="1" t="s">
        <v>3811</v>
      </c>
      <c r="D631" s="1" t="s">
        <v>3799</v>
      </c>
      <c r="E631" s="1" t="s">
        <v>3812</v>
      </c>
      <c r="F631" s="13" t="s">
        <v>6952</v>
      </c>
      <c r="G631" s="1" t="s">
        <v>3801</v>
      </c>
      <c r="H631" s="1" t="s">
        <v>3802</v>
      </c>
      <c r="I631" s="1">
        <v>160</v>
      </c>
      <c r="J631" s="1" t="s">
        <v>46</v>
      </c>
      <c r="M631" s="1" t="s">
        <v>835</v>
      </c>
      <c r="N631" s="1" t="s">
        <v>139</v>
      </c>
      <c r="O631" s="9">
        <v>18</v>
      </c>
      <c r="P631" s="1">
        <f>ROUNDUP(520*(1-$F$3),2)</f>
        <v>520</v>
      </c>
      <c r="Q631" s="1" t="s">
        <v>49</v>
      </c>
      <c r="R631" s="1" t="s">
        <v>3813</v>
      </c>
      <c r="S631" s="1" t="s">
        <v>3814</v>
      </c>
      <c r="T631" s="9">
        <v>10</v>
      </c>
      <c r="U631" s="1">
        <f>ROUNDUP(472.73*(1-$F$3),2)</f>
        <v>472.73</v>
      </c>
      <c r="V631" s="1">
        <v>155</v>
      </c>
      <c r="Y631" s="1" t="s">
        <v>3815</v>
      </c>
      <c r="Z631" s="1" t="s">
        <v>128</v>
      </c>
      <c r="AA631" s="12">
        <v>43803</v>
      </c>
      <c r="AB631" s="1" t="s">
        <v>459</v>
      </c>
      <c r="AC631" s="1" t="s">
        <v>3259</v>
      </c>
      <c r="AD631" s="1" t="s">
        <v>3816</v>
      </c>
      <c r="AE631" s="1" t="s">
        <v>57</v>
      </c>
      <c r="AG631" s="1">
        <v>9252400</v>
      </c>
    </row>
    <row r="632" spans="1:33" s="1" customFormat="1" x14ac:dyDescent="0.25">
      <c r="C632" s="1" t="s">
        <v>3817</v>
      </c>
      <c r="D632" s="1" t="s">
        <v>3799</v>
      </c>
      <c r="E632" s="1" t="s">
        <v>3818</v>
      </c>
      <c r="F632" s="13" t="s">
        <v>6952</v>
      </c>
      <c r="G632" s="1" t="s">
        <v>3801</v>
      </c>
      <c r="H632" s="1" t="s">
        <v>3802</v>
      </c>
      <c r="I632" s="1">
        <v>144</v>
      </c>
      <c r="J632" s="1" t="s">
        <v>46</v>
      </c>
      <c r="M632" s="1" t="s">
        <v>1061</v>
      </c>
      <c r="N632" s="1" t="s">
        <v>139</v>
      </c>
      <c r="O632" s="9">
        <v>30</v>
      </c>
      <c r="P632" s="1">
        <f>ROUNDUP(520*(1-$F$3),2)</f>
        <v>520</v>
      </c>
      <c r="Q632" s="1" t="s">
        <v>49</v>
      </c>
      <c r="R632" s="1" t="s">
        <v>3819</v>
      </c>
      <c r="S632" s="1" t="s">
        <v>3820</v>
      </c>
      <c r="T632" s="9">
        <v>10</v>
      </c>
      <c r="U632" s="1">
        <f>ROUNDUP(472.73*(1-$F$3),2)</f>
        <v>472.73</v>
      </c>
      <c r="V632" s="1">
        <v>134</v>
      </c>
      <c r="Y632" s="1" t="s">
        <v>3821</v>
      </c>
      <c r="Z632" s="1" t="s">
        <v>711</v>
      </c>
      <c r="AA632" s="12">
        <v>43356</v>
      </c>
      <c r="AB632" s="1" t="s">
        <v>445</v>
      </c>
      <c r="AC632" s="1" t="s">
        <v>737</v>
      </c>
      <c r="AD632" s="1" t="s">
        <v>738</v>
      </c>
      <c r="AE632" s="1" t="s">
        <v>57</v>
      </c>
      <c r="AG632" s="1">
        <v>8727950</v>
      </c>
    </row>
    <row r="633" spans="1:33" s="1" customFormat="1" x14ac:dyDescent="0.25">
      <c r="C633" s="1" t="s">
        <v>3822</v>
      </c>
      <c r="D633" s="1" t="s">
        <v>3799</v>
      </c>
      <c r="E633" s="1" t="s">
        <v>3823</v>
      </c>
      <c r="F633" s="13" t="s">
        <v>6952</v>
      </c>
      <c r="G633" s="1" t="s">
        <v>3801</v>
      </c>
      <c r="H633" s="1" t="s">
        <v>3802</v>
      </c>
      <c r="I633" s="1">
        <v>96</v>
      </c>
      <c r="J633" s="1" t="s">
        <v>46</v>
      </c>
      <c r="M633" s="1" t="s">
        <v>835</v>
      </c>
      <c r="N633" s="1" t="s">
        <v>139</v>
      </c>
      <c r="O633" s="9">
        <v>30</v>
      </c>
      <c r="P633" s="1">
        <f>ROUNDUP(670*(1-$F$3),2)</f>
        <v>670</v>
      </c>
      <c r="Q633" s="1" t="s">
        <v>49</v>
      </c>
      <c r="R633" s="1" t="s">
        <v>3824</v>
      </c>
      <c r="S633" s="1" t="s">
        <v>3825</v>
      </c>
      <c r="T633" s="9">
        <v>10</v>
      </c>
      <c r="U633" s="1">
        <f>ROUNDUP(609.09*(1-$F$3),2)</f>
        <v>609.09</v>
      </c>
      <c r="V633" s="1">
        <v>92</v>
      </c>
      <c r="Y633" s="1" t="s">
        <v>3826</v>
      </c>
      <c r="Z633" s="1" t="s">
        <v>128</v>
      </c>
      <c r="AA633" s="12">
        <v>42846</v>
      </c>
      <c r="AB633" s="1" t="s">
        <v>445</v>
      </c>
      <c r="AC633" s="1" t="s">
        <v>737</v>
      </c>
      <c r="AD633" s="1" t="s">
        <v>738</v>
      </c>
      <c r="AE633" s="1" t="s">
        <v>57</v>
      </c>
      <c r="AG633" s="1">
        <v>8138840</v>
      </c>
    </row>
    <row r="634" spans="1:33" s="11" customFormat="1" x14ac:dyDescent="0.25">
      <c r="A634" s="11" t="s">
        <v>6953</v>
      </c>
      <c r="C634" s="11" t="s">
        <v>3827</v>
      </c>
      <c r="D634" s="11" t="s">
        <v>3828</v>
      </c>
      <c r="E634" s="11" t="s">
        <v>3829</v>
      </c>
      <c r="F634" s="14" t="s">
        <v>6952</v>
      </c>
      <c r="G634" s="11" t="s">
        <v>1723</v>
      </c>
      <c r="H634" s="11" t="s">
        <v>82</v>
      </c>
      <c r="I634" s="11">
        <v>544</v>
      </c>
      <c r="J634" s="11" t="s">
        <v>46</v>
      </c>
      <c r="M634" s="11" t="s">
        <v>62</v>
      </c>
      <c r="N634" s="11" t="s">
        <v>48</v>
      </c>
      <c r="O634" s="23">
        <v>5</v>
      </c>
      <c r="P634" s="11">
        <f>ROUNDUP(1890*(1-$F$3),2)</f>
        <v>1890</v>
      </c>
      <c r="Q634" s="11" t="s">
        <v>49</v>
      </c>
      <c r="R634" s="11" t="s">
        <v>3830</v>
      </c>
      <c r="S634" s="11" t="s">
        <v>3831</v>
      </c>
      <c r="T634" s="23">
        <v>10</v>
      </c>
      <c r="U634" s="11">
        <f>ROUNDUP(1718.18*(1-$F$3),2)</f>
        <v>1718.18</v>
      </c>
      <c r="V634" s="11">
        <v>852</v>
      </c>
      <c r="Y634" s="11" t="s">
        <v>3832</v>
      </c>
      <c r="Z634" s="11" t="s">
        <v>53</v>
      </c>
      <c r="AA634" s="15">
        <v>44955</v>
      </c>
      <c r="AB634" s="11" t="s">
        <v>334</v>
      </c>
      <c r="AC634" s="11" t="s">
        <v>892</v>
      </c>
      <c r="AD634" s="11" t="s">
        <v>893</v>
      </c>
      <c r="AE634" s="11" t="s">
        <v>69</v>
      </c>
      <c r="AG634" s="11">
        <v>10777990</v>
      </c>
    </row>
    <row r="635" spans="1:33" s="1" customFormat="1" x14ac:dyDescent="0.25">
      <c r="C635" s="1" t="s">
        <v>3833</v>
      </c>
      <c r="D635" s="1" t="s">
        <v>3828</v>
      </c>
      <c r="E635" s="1" t="s">
        <v>3834</v>
      </c>
      <c r="F635" s="13" t="s">
        <v>6952</v>
      </c>
      <c r="G635" s="1" t="s">
        <v>1723</v>
      </c>
      <c r="H635" s="1" t="s">
        <v>82</v>
      </c>
      <c r="I635" s="1">
        <v>528</v>
      </c>
      <c r="J635" s="1" t="s">
        <v>46</v>
      </c>
      <c r="M635" s="1" t="s">
        <v>161</v>
      </c>
      <c r="N635" s="1" t="s">
        <v>48</v>
      </c>
      <c r="O635" s="9">
        <v>6</v>
      </c>
      <c r="P635" s="1">
        <f>ROUNDUP(1830*(1-$F$3),2)</f>
        <v>1830</v>
      </c>
      <c r="Q635" s="1" t="s">
        <v>49</v>
      </c>
      <c r="R635" s="1" t="s">
        <v>3835</v>
      </c>
      <c r="S635" s="1" t="s">
        <v>3836</v>
      </c>
      <c r="T635" s="9">
        <v>10</v>
      </c>
      <c r="U635" s="1">
        <f>ROUNDUP(1663.64*(1-$F$3),2)</f>
        <v>1663.64</v>
      </c>
      <c r="V635" s="1">
        <v>873</v>
      </c>
      <c r="Y635" s="1" t="s">
        <v>3837</v>
      </c>
      <c r="Z635" s="1" t="s">
        <v>53</v>
      </c>
      <c r="AA635" s="12">
        <v>44968</v>
      </c>
      <c r="AB635" s="1" t="s">
        <v>334</v>
      </c>
      <c r="AC635" s="1" t="s">
        <v>892</v>
      </c>
      <c r="AD635" s="1" t="s">
        <v>893</v>
      </c>
      <c r="AE635" s="1" t="s">
        <v>69</v>
      </c>
      <c r="AG635" s="1">
        <v>10777970</v>
      </c>
    </row>
    <row r="636" spans="1:33" s="1" customFormat="1" x14ac:dyDescent="0.25">
      <c r="C636" s="1" t="s">
        <v>3838</v>
      </c>
      <c r="D636" s="1" t="s">
        <v>3839</v>
      </c>
      <c r="E636" s="1" t="s">
        <v>3840</v>
      </c>
      <c r="F636" s="13" t="s">
        <v>6952</v>
      </c>
      <c r="G636" s="1" t="s">
        <v>3841</v>
      </c>
      <c r="H636" s="1" t="s">
        <v>160</v>
      </c>
      <c r="I636" s="1">
        <v>384</v>
      </c>
      <c r="J636" s="1" t="s">
        <v>46</v>
      </c>
      <c r="M636" s="1" t="s">
        <v>47</v>
      </c>
      <c r="N636" s="1" t="s">
        <v>48</v>
      </c>
      <c r="O636" s="9">
        <v>6</v>
      </c>
      <c r="P636" s="1">
        <f>ROUNDUP(930*(1-$F$3),2)</f>
        <v>930</v>
      </c>
      <c r="Q636" s="1" t="s">
        <v>49</v>
      </c>
      <c r="R636" s="1" t="s">
        <v>3842</v>
      </c>
      <c r="S636" s="1" t="s">
        <v>3843</v>
      </c>
      <c r="T636" s="9">
        <v>10</v>
      </c>
      <c r="U636" s="1">
        <f>ROUNDUP(845.45*(1-$F$3),2)</f>
        <v>845.45</v>
      </c>
      <c r="V636" s="1">
        <v>385</v>
      </c>
      <c r="Y636" s="1" t="s">
        <v>3844</v>
      </c>
      <c r="Z636" s="1" t="s">
        <v>53</v>
      </c>
      <c r="AA636" s="12">
        <v>43150</v>
      </c>
      <c r="AB636" s="1" t="s">
        <v>66</v>
      </c>
      <c r="AC636" s="1" t="s">
        <v>143</v>
      </c>
      <c r="AD636" s="1" t="s">
        <v>144</v>
      </c>
      <c r="AE636" s="1" t="s">
        <v>69</v>
      </c>
      <c r="AG636" s="1">
        <v>8470160</v>
      </c>
    </row>
    <row r="637" spans="1:33" s="1" customFormat="1" x14ac:dyDescent="0.25">
      <c r="C637" s="1" t="s">
        <v>3845</v>
      </c>
      <c r="D637" s="1" t="s">
        <v>3846</v>
      </c>
      <c r="E637" s="1" t="s">
        <v>3840</v>
      </c>
      <c r="F637" s="13" t="s">
        <v>6952</v>
      </c>
      <c r="G637" s="1" t="s">
        <v>3841</v>
      </c>
      <c r="H637" s="1" t="s">
        <v>190</v>
      </c>
      <c r="I637" s="1">
        <v>384</v>
      </c>
      <c r="J637" s="1" t="s">
        <v>46</v>
      </c>
      <c r="M637" s="1" t="s">
        <v>62</v>
      </c>
      <c r="N637" s="1" t="s">
        <v>139</v>
      </c>
      <c r="O637" s="9">
        <v>12</v>
      </c>
      <c r="P637" s="1">
        <f>ROUNDUP(600*(1-$F$3),2)</f>
        <v>600</v>
      </c>
      <c r="Q637" s="1" t="s">
        <v>49</v>
      </c>
      <c r="R637" s="1" t="s">
        <v>3847</v>
      </c>
      <c r="S637" s="1" t="s">
        <v>3848</v>
      </c>
      <c r="T637" s="9">
        <v>10</v>
      </c>
      <c r="U637" s="1">
        <f>ROUNDUP(545.45*(1-$F$3),2)</f>
        <v>545.45000000000005</v>
      </c>
      <c r="V637" s="1">
        <v>189</v>
      </c>
      <c r="Y637" s="1" t="s">
        <v>3844</v>
      </c>
      <c r="Z637" s="1" t="s">
        <v>53</v>
      </c>
      <c r="AA637" s="12">
        <v>43218</v>
      </c>
      <c r="AB637" s="1" t="s">
        <v>66</v>
      </c>
      <c r="AC637" s="1" t="s">
        <v>143</v>
      </c>
      <c r="AD637" s="1" t="s">
        <v>144</v>
      </c>
      <c r="AE637" s="1" t="s">
        <v>69</v>
      </c>
      <c r="AG637" s="1">
        <v>8598550</v>
      </c>
    </row>
    <row r="638" spans="1:33" s="1" customFormat="1" x14ac:dyDescent="0.25">
      <c r="C638" s="1" t="s">
        <v>3849</v>
      </c>
      <c r="D638" s="1" t="s">
        <v>3850</v>
      </c>
      <c r="E638" s="1" t="s">
        <v>3851</v>
      </c>
      <c r="F638" s="13" t="s">
        <v>6952</v>
      </c>
      <c r="G638" s="1" t="s">
        <v>3852</v>
      </c>
      <c r="H638" s="1" t="s">
        <v>61</v>
      </c>
      <c r="I638" s="1">
        <v>591</v>
      </c>
      <c r="J638" s="1" t="s">
        <v>46</v>
      </c>
      <c r="K638" s="1" t="s">
        <v>1417</v>
      </c>
      <c r="M638" s="1" t="s">
        <v>1061</v>
      </c>
      <c r="N638" s="1" t="s">
        <v>48</v>
      </c>
      <c r="O638" s="9">
        <v>6</v>
      </c>
      <c r="P638" s="1">
        <f>ROUNDUP(1120*(1-$F$3),2)</f>
        <v>1120</v>
      </c>
      <c r="Q638" s="1" t="s">
        <v>49</v>
      </c>
      <c r="R638" s="1" t="s">
        <v>3853</v>
      </c>
      <c r="S638" s="1" t="s">
        <v>3854</v>
      </c>
      <c r="T638" s="9">
        <v>10</v>
      </c>
      <c r="U638" s="1">
        <f>ROUNDUP(1018.18*(1-$F$3),2)</f>
        <v>1018.18</v>
      </c>
      <c r="V638" s="1">
        <v>681</v>
      </c>
      <c r="Y638" s="1" t="s">
        <v>3855</v>
      </c>
      <c r="Z638" s="1" t="s">
        <v>53</v>
      </c>
      <c r="AA638" s="12">
        <v>43540</v>
      </c>
      <c r="AB638" s="1" t="s">
        <v>66</v>
      </c>
      <c r="AC638" s="1" t="s">
        <v>499</v>
      </c>
      <c r="AD638" s="1" t="s">
        <v>500</v>
      </c>
      <c r="AE638" s="1" t="s">
        <v>69</v>
      </c>
      <c r="AG638" s="1">
        <v>8921070</v>
      </c>
    </row>
    <row r="639" spans="1:33" s="1" customFormat="1" x14ac:dyDescent="0.25">
      <c r="C639" s="1" t="s">
        <v>3856</v>
      </c>
      <c r="D639" s="1" t="s">
        <v>3857</v>
      </c>
      <c r="E639" s="1" t="s">
        <v>3858</v>
      </c>
      <c r="F639" s="13" t="s">
        <v>6952</v>
      </c>
      <c r="G639" s="1" t="s">
        <v>3859</v>
      </c>
      <c r="H639" s="1" t="s">
        <v>3426</v>
      </c>
      <c r="I639" s="1">
        <v>64</v>
      </c>
      <c r="J639" s="1" t="s">
        <v>46</v>
      </c>
      <c r="M639" s="1" t="s">
        <v>2310</v>
      </c>
      <c r="N639" s="1" t="s">
        <v>48</v>
      </c>
      <c r="O639" s="9">
        <v>12</v>
      </c>
      <c r="P639" s="1">
        <f>ROUNDUP(1080*(1-$F$3),2)</f>
        <v>1080</v>
      </c>
      <c r="Q639" s="1" t="s">
        <v>49</v>
      </c>
      <c r="R639" s="1" t="s">
        <v>3860</v>
      </c>
      <c r="S639" s="1" t="s">
        <v>3861</v>
      </c>
      <c r="T639" s="9">
        <v>10</v>
      </c>
      <c r="U639" s="1">
        <f>ROUNDUP(981.82*(1-$F$3),2)</f>
        <v>981.82</v>
      </c>
      <c r="V639" s="1">
        <v>275</v>
      </c>
      <c r="Y639" s="1" t="s">
        <v>3862</v>
      </c>
      <c r="Z639" s="1" t="s">
        <v>711</v>
      </c>
      <c r="AA639" s="12">
        <v>43424</v>
      </c>
      <c r="AB639" s="1" t="s">
        <v>459</v>
      </c>
      <c r="AC639" s="1" t="s">
        <v>3259</v>
      </c>
      <c r="AD639" s="1" t="s">
        <v>3260</v>
      </c>
      <c r="AE639" s="1" t="s">
        <v>69</v>
      </c>
      <c r="AG639" s="1">
        <v>8819550</v>
      </c>
    </row>
    <row r="640" spans="1:33" s="1" customFormat="1" x14ac:dyDescent="0.25">
      <c r="C640" s="1" t="s">
        <v>3863</v>
      </c>
      <c r="D640" s="1" t="s">
        <v>3864</v>
      </c>
      <c r="E640" s="1" t="s">
        <v>3865</v>
      </c>
      <c r="F640" s="13" t="s">
        <v>6952</v>
      </c>
      <c r="G640" s="1" t="s">
        <v>44</v>
      </c>
      <c r="H640" s="1" t="s">
        <v>61</v>
      </c>
      <c r="I640" s="1">
        <v>400</v>
      </c>
      <c r="J640" s="1" t="s">
        <v>46</v>
      </c>
      <c r="M640" s="1" t="s">
        <v>47</v>
      </c>
      <c r="N640" s="1" t="s">
        <v>48</v>
      </c>
      <c r="O640" s="9">
        <v>4</v>
      </c>
      <c r="P640" s="1">
        <f>ROUNDUP(1730*(1-$F$3),2)</f>
        <v>1730</v>
      </c>
      <c r="Q640" s="1" t="s">
        <v>49</v>
      </c>
      <c r="R640" s="1" t="s">
        <v>3866</v>
      </c>
      <c r="S640" s="1" t="s">
        <v>3867</v>
      </c>
      <c r="T640" s="9">
        <v>10</v>
      </c>
      <c r="U640" s="1">
        <f>ROUNDUP(1572.73*(1-$F$3),2)</f>
        <v>1572.73</v>
      </c>
      <c r="V640" s="1">
        <v>433</v>
      </c>
      <c r="Y640" s="1" t="s">
        <v>3868</v>
      </c>
      <c r="Z640" s="1" t="s">
        <v>53</v>
      </c>
      <c r="AA640" s="12">
        <v>45756</v>
      </c>
      <c r="AB640" s="1" t="s">
        <v>66</v>
      </c>
      <c r="AC640" s="1" t="s">
        <v>120</v>
      </c>
      <c r="AD640" s="1" t="s">
        <v>598</v>
      </c>
      <c r="AE640" s="1" t="s">
        <v>69</v>
      </c>
      <c r="AG640" s="1">
        <v>11711990</v>
      </c>
    </row>
    <row r="641" spans="3:33" s="1" customFormat="1" x14ac:dyDescent="0.25">
      <c r="C641" s="1" t="s">
        <v>3869</v>
      </c>
      <c r="D641" s="1" t="s">
        <v>3864</v>
      </c>
      <c r="E641" s="1" t="s">
        <v>3870</v>
      </c>
      <c r="F641" s="13" t="s">
        <v>6952</v>
      </c>
      <c r="G641" s="1" t="s">
        <v>44</v>
      </c>
      <c r="H641" s="1" t="s">
        <v>61</v>
      </c>
      <c r="I641" s="1">
        <v>432</v>
      </c>
      <c r="J641" s="1" t="s">
        <v>46</v>
      </c>
      <c r="M641" s="1" t="s">
        <v>47</v>
      </c>
      <c r="N641" s="1" t="s">
        <v>48</v>
      </c>
      <c r="O641" s="9">
        <v>4</v>
      </c>
      <c r="P641" s="1">
        <f>ROUNDUP(1730*(1-$F$3),2)</f>
        <v>1730</v>
      </c>
      <c r="Q641" s="1" t="s">
        <v>49</v>
      </c>
      <c r="R641" s="1" t="s">
        <v>3871</v>
      </c>
      <c r="S641" s="1" t="s">
        <v>3872</v>
      </c>
      <c r="T641" s="9">
        <v>10</v>
      </c>
      <c r="U641" s="1">
        <f>ROUNDUP(1572.73*(1-$F$3),2)</f>
        <v>1572.73</v>
      </c>
      <c r="V641" s="1">
        <v>456</v>
      </c>
      <c r="Y641" s="1" t="s">
        <v>3873</v>
      </c>
      <c r="Z641" s="1" t="s">
        <v>53</v>
      </c>
      <c r="AA641" s="12">
        <v>45756</v>
      </c>
      <c r="AB641" s="1" t="s">
        <v>66</v>
      </c>
      <c r="AC641" s="1" t="s">
        <v>120</v>
      </c>
      <c r="AD641" s="1" t="s">
        <v>598</v>
      </c>
      <c r="AE641" s="1" t="s">
        <v>69</v>
      </c>
      <c r="AG641" s="1">
        <v>11712000</v>
      </c>
    </row>
    <row r="642" spans="3:33" s="1" customFormat="1" x14ac:dyDescent="0.25">
      <c r="C642" s="1" t="s">
        <v>3874</v>
      </c>
      <c r="D642" s="1" t="s">
        <v>3875</v>
      </c>
      <c r="E642" s="1" t="s">
        <v>3876</v>
      </c>
      <c r="F642" s="13" t="s">
        <v>6952</v>
      </c>
      <c r="G642" s="1" t="s">
        <v>3877</v>
      </c>
      <c r="H642" s="1" t="s">
        <v>61</v>
      </c>
      <c r="I642" s="1">
        <v>528</v>
      </c>
      <c r="J642" s="1" t="s">
        <v>46</v>
      </c>
      <c r="M642" s="1" t="s">
        <v>169</v>
      </c>
      <c r="N642" s="1" t="s">
        <v>139</v>
      </c>
      <c r="O642" s="9">
        <v>5</v>
      </c>
      <c r="P642" s="1">
        <f>ROUNDUP(1200*(1-$F$3),2)</f>
        <v>1200</v>
      </c>
      <c r="Q642" s="1" t="s">
        <v>49</v>
      </c>
      <c r="R642" s="1" t="s">
        <v>3878</v>
      </c>
      <c r="S642" s="1" t="s">
        <v>3879</v>
      </c>
      <c r="T642" s="9">
        <v>10</v>
      </c>
      <c r="U642" s="1">
        <f>ROUNDUP(1090.91*(1-$F$3),2)</f>
        <v>1090.9100000000001</v>
      </c>
      <c r="V642" s="1">
        <v>442</v>
      </c>
      <c r="Y642" s="1" t="s">
        <v>3880</v>
      </c>
      <c r="Z642" s="1" t="s">
        <v>128</v>
      </c>
      <c r="AA642" s="12">
        <v>43166</v>
      </c>
      <c r="AB642" s="1" t="s">
        <v>95</v>
      </c>
      <c r="AC642" s="1" t="s">
        <v>453</v>
      </c>
      <c r="AD642" s="1" t="s">
        <v>3881</v>
      </c>
      <c r="AE642" s="1" t="s">
        <v>878</v>
      </c>
      <c r="AG642" s="1">
        <v>8471990</v>
      </c>
    </row>
    <row r="643" spans="3:33" s="1" customFormat="1" x14ac:dyDescent="0.25">
      <c r="C643" s="1" t="s">
        <v>3882</v>
      </c>
      <c r="D643" s="1" t="s">
        <v>3875</v>
      </c>
      <c r="E643" s="1" t="s">
        <v>3883</v>
      </c>
      <c r="F643" s="13" t="s">
        <v>6952</v>
      </c>
      <c r="G643" s="1" t="s">
        <v>3884</v>
      </c>
      <c r="H643" s="1" t="s">
        <v>61</v>
      </c>
      <c r="I643" s="1">
        <v>334</v>
      </c>
      <c r="J643" s="1" t="s">
        <v>46</v>
      </c>
      <c r="M643" s="1" t="s">
        <v>2310</v>
      </c>
      <c r="N643" s="1" t="s">
        <v>139</v>
      </c>
      <c r="O643" s="9">
        <v>10</v>
      </c>
      <c r="P643" s="1">
        <f>ROUNDUP(1300*(1-$F$3),2)</f>
        <v>1300</v>
      </c>
      <c r="Q643" s="1" t="s">
        <v>49</v>
      </c>
      <c r="R643" s="1" t="s">
        <v>3885</v>
      </c>
      <c r="S643" s="1" t="s">
        <v>3886</v>
      </c>
      <c r="T643" s="9">
        <v>10</v>
      </c>
      <c r="U643" s="1">
        <f>ROUNDUP(1181.82*(1-$F$3),2)</f>
        <v>1181.82</v>
      </c>
      <c r="V643" s="1">
        <v>424</v>
      </c>
      <c r="Y643" s="1" t="s">
        <v>3887</v>
      </c>
      <c r="Z643" s="1" t="s">
        <v>711</v>
      </c>
      <c r="AA643" s="12">
        <v>43378</v>
      </c>
      <c r="AB643" s="1" t="s">
        <v>95</v>
      </c>
      <c r="AC643" s="1" t="s">
        <v>453</v>
      </c>
      <c r="AD643" s="1" t="s">
        <v>3888</v>
      </c>
      <c r="AE643" s="1" t="s">
        <v>69</v>
      </c>
      <c r="AG643" s="1">
        <v>8777560</v>
      </c>
    </row>
    <row r="644" spans="3:33" s="1" customFormat="1" x14ac:dyDescent="0.25">
      <c r="C644" s="1" t="s">
        <v>3889</v>
      </c>
      <c r="D644" s="1" t="s">
        <v>3890</v>
      </c>
      <c r="E644" s="1" t="s">
        <v>3891</v>
      </c>
      <c r="F644" s="13" t="s">
        <v>6952</v>
      </c>
      <c r="G644" s="1" t="s">
        <v>3892</v>
      </c>
      <c r="H644" s="1" t="s">
        <v>160</v>
      </c>
      <c r="I644" s="1">
        <v>544</v>
      </c>
      <c r="J644" s="1" t="s">
        <v>46</v>
      </c>
      <c r="K644" s="1" t="s">
        <v>1566</v>
      </c>
      <c r="M644" s="1" t="s">
        <v>1061</v>
      </c>
      <c r="N644" s="1" t="s">
        <v>139</v>
      </c>
      <c r="O644" s="9">
        <v>10</v>
      </c>
      <c r="P644" s="1">
        <f>ROUNDUP(820*(1-$F$3),2)</f>
        <v>820</v>
      </c>
      <c r="Q644" s="1" t="s">
        <v>49</v>
      </c>
      <c r="R644" s="1" t="s">
        <v>3893</v>
      </c>
      <c r="S644" s="1" t="s">
        <v>3894</v>
      </c>
      <c r="T644" s="9">
        <v>10</v>
      </c>
      <c r="U644" s="1">
        <f>ROUNDUP(745.45*(1-$F$3),2)</f>
        <v>745.45</v>
      </c>
      <c r="V644" s="1">
        <v>459</v>
      </c>
      <c r="Y644" s="1" t="s">
        <v>3895</v>
      </c>
      <c r="Z644" s="1" t="s">
        <v>53</v>
      </c>
      <c r="AA644" s="12">
        <v>43577</v>
      </c>
      <c r="AB644" s="1" t="s">
        <v>95</v>
      </c>
      <c r="AC644" s="1" t="s">
        <v>112</v>
      </c>
      <c r="AD644" s="1" t="s">
        <v>536</v>
      </c>
      <c r="AE644" s="1" t="s">
        <v>69</v>
      </c>
      <c r="AG644" s="1">
        <v>8976720</v>
      </c>
    </row>
    <row r="645" spans="3:33" s="1" customFormat="1" x14ac:dyDescent="0.25">
      <c r="C645" s="1" t="s">
        <v>3896</v>
      </c>
      <c r="D645" s="1" t="s">
        <v>3897</v>
      </c>
      <c r="E645" s="1" t="s">
        <v>1738</v>
      </c>
      <c r="F645" s="13" t="s">
        <v>6952</v>
      </c>
      <c r="G645" s="1" t="s">
        <v>888</v>
      </c>
      <c r="H645" s="1" t="s">
        <v>160</v>
      </c>
      <c r="I645" s="1">
        <v>768</v>
      </c>
      <c r="J645" s="1" t="s">
        <v>46</v>
      </c>
      <c r="M645" s="1" t="s">
        <v>47</v>
      </c>
      <c r="N645" s="1" t="s">
        <v>48</v>
      </c>
      <c r="O645" s="9">
        <v>3</v>
      </c>
      <c r="P645" s="1">
        <f>ROUNDUP(1280*(1-$F$3),2)</f>
        <v>1280</v>
      </c>
      <c r="Q645" s="1" t="s">
        <v>49</v>
      </c>
      <c r="R645" s="1" t="s">
        <v>3898</v>
      </c>
      <c r="S645" s="1" t="s">
        <v>3899</v>
      </c>
      <c r="T645" s="9">
        <v>10</v>
      </c>
      <c r="U645" s="1">
        <f>ROUNDUP(1163.64*(1-$F$3),2)</f>
        <v>1163.6400000000001</v>
      </c>
      <c r="V645" s="1">
        <v>521</v>
      </c>
      <c r="Y645" s="1" t="s">
        <v>1741</v>
      </c>
      <c r="Z645" s="1" t="s">
        <v>53</v>
      </c>
      <c r="AA645" s="12">
        <v>44189</v>
      </c>
      <c r="AB645" s="1" t="s">
        <v>334</v>
      </c>
      <c r="AC645" s="1" t="s">
        <v>892</v>
      </c>
      <c r="AD645" s="1" t="s">
        <v>893</v>
      </c>
      <c r="AE645" s="1" t="s">
        <v>878</v>
      </c>
      <c r="AG645" s="1">
        <v>9578490</v>
      </c>
    </row>
    <row r="646" spans="3:33" s="1" customFormat="1" x14ac:dyDescent="0.25">
      <c r="C646" s="1" t="s">
        <v>3900</v>
      </c>
      <c r="D646" s="1" t="s">
        <v>3897</v>
      </c>
      <c r="E646" s="1" t="s">
        <v>3322</v>
      </c>
      <c r="F646" s="13" t="s">
        <v>6952</v>
      </c>
      <c r="G646" s="1" t="s">
        <v>3323</v>
      </c>
      <c r="H646" s="1" t="s">
        <v>160</v>
      </c>
      <c r="I646" s="1">
        <v>624</v>
      </c>
      <c r="J646" s="1" t="s">
        <v>46</v>
      </c>
      <c r="M646" s="1" t="s">
        <v>756</v>
      </c>
      <c r="N646" s="1" t="s">
        <v>48</v>
      </c>
      <c r="O646" s="9">
        <v>6</v>
      </c>
      <c r="P646" s="1">
        <f>ROUNDUP(1010*(1-$F$3),2)</f>
        <v>1010</v>
      </c>
      <c r="Q646" s="1" t="s">
        <v>49</v>
      </c>
      <c r="R646" s="1" t="s">
        <v>3901</v>
      </c>
      <c r="S646" s="1" t="s">
        <v>3902</v>
      </c>
      <c r="T646" s="9">
        <v>10</v>
      </c>
      <c r="U646" s="1">
        <f>ROUNDUP(918.18*(1-$F$3),2)</f>
        <v>918.18</v>
      </c>
      <c r="V646" s="1">
        <v>422</v>
      </c>
      <c r="Y646" s="1" t="s">
        <v>3326</v>
      </c>
      <c r="Z646" s="1" t="s">
        <v>128</v>
      </c>
      <c r="AA646" s="12">
        <v>44189</v>
      </c>
      <c r="AB646" s="1" t="s">
        <v>95</v>
      </c>
      <c r="AC646" s="1" t="s">
        <v>96</v>
      </c>
      <c r="AD646" s="1" t="s">
        <v>1286</v>
      </c>
      <c r="AE646" s="1" t="s">
        <v>878</v>
      </c>
      <c r="AG646" s="1">
        <v>9577790</v>
      </c>
    </row>
    <row r="647" spans="3:33" s="1" customFormat="1" x14ac:dyDescent="0.25">
      <c r="C647" s="1" t="s">
        <v>3903</v>
      </c>
      <c r="D647" s="1" t="s">
        <v>3897</v>
      </c>
      <c r="E647" s="1" t="s">
        <v>3904</v>
      </c>
      <c r="F647" s="13" t="s">
        <v>6952</v>
      </c>
      <c r="G647" s="1" t="s">
        <v>1747</v>
      </c>
      <c r="H647" s="1" t="s">
        <v>160</v>
      </c>
      <c r="I647" s="1">
        <v>624</v>
      </c>
      <c r="J647" s="1" t="s">
        <v>46</v>
      </c>
      <c r="M647" s="1" t="s">
        <v>47</v>
      </c>
      <c r="N647" s="1" t="s">
        <v>48</v>
      </c>
      <c r="O647" s="9">
        <v>8</v>
      </c>
      <c r="P647" s="1">
        <f>ROUNDUP(1270*(1-$F$3),2)</f>
        <v>1270</v>
      </c>
      <c r="Q647" s="1" t="s">
        <v>49</v>
      </c>
      <c r="R647" s="1" t="s">
        <v>3905</v>
      </c>
      <c r="S647" s="1" t="s">
        <v>3906</v>
      </c>
      <c r="T647" s="9">
        <v>10</v>
      </c>
      <c r="U647" s="1">
        <f>ROUNDUP(1154.55*(1-$F$3),2)</f>
        <v>1154.55</v>
      </c>
      <c r="V647" s="1">
        <v>458</v>
      </c>
      <c r="Y647" s="1" t="s">
        <v>1762</v>
      </c>
      <c r="Z647" s="1" t="s">
        <v>128</v>
      </c>
      <c r="AA647" s="12">
        <v>44189</v>
      </c>
      <c r="AB647" s="1" t="s">
        <v>334</v>
      </c>
      <c r="AC647" s="1" t="s">
        <v>892</v>
      </c>
      <c r="AD647" s="1" t="s">
        <v>893</v>
      </c>
      <c r="AE647" s="1" t="s">
        <v>878</v>
      </c>
      <c r="AG647" s="1">
        <v>9577940</v>
      </c>
    </row>
    <row r="648" spans="3:33" s="1" customFormat="1" x14ac:dyDescent="0.25">
      <c r="C648" s="1" t="s">
        <v>3907</v>
      </c>
      <c r="D648" s="1" t="s">
        <v>3908</v>
      </c>
      <c r="E648" s="1" t="s">
        <v>3909</v>
      </c>
      <c r="F648" s="13" t="s">
        <v>6952</v>
      </c>
      <c r="H648" s="1" t="s">
        <v>3426</v>
      </c>
      <c r="I648" s="1">
        <v>448</v>
      </c>
      <c r="J648" s="1" t="s">
        <v>46</v>
      </c>
      <c r="M648" s="1" t="s">
        <v>1994</v>
      </c>
      <c r="N648" s="1" t="s">
        <v>48</v>
      </c>
      <c r="O648" s="9">
        <v>6</v>
      </c>
      <c r="P648" s="1">
        <f>ROUNDUP(3801.9*(1-$F$3),2)</f>
        <v>3801.9</v>
      </c>
      <c r="Q648" s="1" t="s">
        <v>49</v>
      </c>
      <c r="R648" s="1" t="s">
        <v>3910</v>
      </c>
      <c r="S648" s="1" t="s">
        <v>3911</v>
      </c>
      <c r="T648" s="9">
        <v>10</v>
      </c>
      <c r="U648" s="1">
        <f>ROUNDUP(3456.27*(1-$F$3),2)</f>
        <v>3456.27</v>
      </c>
      <c r="V648" s="1">
        <v>1786</v>
      </c>
      <c r="W648" s="1" t="s">
        <v>3912</v>
      </c>
      <c r="X648" s="1" t="s">
        <v>3913</v>
      </c>
      <c r="Y648" s="1" t="s">
        <v>3914</v>
      </c>
      <c r="AA648" s="12">
        <v>41589</v>
      </c>
      <c r="AB648" s="1" t="s">
        <v>459</v>
      </c>
      <c r="AC648" s="1" t="s">
        <v>3259</v>
      </c>
      <c r="AD648" s="1" t="s">
        <v>3816</v>
      </c>
      <c r="AE648" s="1" t="s">
        <v>57</v>
      </c>
      <c r="AG648" s="1">
        <v>5850580</v>
      </c>
    </row>
    <row r="649" spans="3:33" s="1" customFormat="1" x14ac:dyDescent="0.25">
      <c r="C649" s="1" t="s">
        <v>3915</v>
      </c>
      <c r="D649" s="1" t="s">
        <v>3908</v>
      </c>
      <c r="E649" s="1" t="s">
        <v>3916</v>
      </c>
      <c r="F649" s="13" t="s">
        <v>6952</v>
      </c>
      <c r="H649" s="1" t="s">
        <v>3426</v>
      </c>
      <c r="I649" s="1">
        <v>494</v>
      </c>
      <c r="J649" s="1" t="s">
        <v>46</v>
      </c>
      <c r="M649" s="1" t="s">
        <v>1994</v>
      </c>
      <c r="N649" s="1" t="s">
        <v>48</v>
      </c>
      <c r="O649" s="9">
        <v>8</v>
      </c>
      <c r="P649" s="1">
        <f>ROUNDUP(4289.5*(1-$F$3),2)</f>
        <v>4289.5</v>
      </c>
      <c r="Q649" s="1" t="s">
        <v>49</v>
      </c>
      <c r="R649" s="1" t="s">
        <v>3917</v>
      </c>
      <c r="S649" s="1" t="s">
        <v>3918</v>
      </c>
      <c r="T649" s="9">
        <v>10</v>
      </c>
      <c r="U649" s="1">
        <f>ROUNDUP(3899.55*(1-$F$3),2)</f>
        <v>3899.55</v>
      </c>
      <c r="V649" s="1">
        <v>1811</v>
      </c>
      <c r="W649" s="1" t="s">
        <v>3912</v>
      </c>
      <c r="X649" s="1" t="s">
        <v>3913</v>
      </c>
      <c r="Y649" s="1" t="s">
        <v>3919</v>
      </c>
      <c r="AA649" s="12">
        <v>41561</v>
      </c>
      <c r="AB649" s="1" t="s">
        <v>459</v>
      </c>
      <c r="AC649" s="1" t="s">
        <v>3259</v>
      </c>
      <c r="AD649" s="1" t="s">
        <v>3816</v>
      </c>
      <c r="AE649" s="1" t="s">
        <v>49</v>
      </c>
      <c r="AG649" s="1">
        <v>5793130</v>
      </c>
    </row>
    <row r="650" spans="3:33" s="1" customFormat="1" x14ac:dyDescent="0.25">
      <c r="C650" s="1" t="s">
        <v>3920</v>
      </c>
      <c r="D650" s="1" t="s">
        <v>3921</v>
      </c>
      <c r="E650" s="1" t="s">
        <v>842</v>
      </c>
      <c r="F650" s="13" t="s">
        <v>6952</v>
      </c>
      <c r="G650" s="1" t="s">
        <v>843</v>
      </c>
      <c r="H650" s="1" t="s">
        <v>61</v>
      </c>
      <c r="I650" s="1">
        <v>512</v>
      </c>
      <c r="J650" s="1" t="s">
        <v>46</v>
      </c>
      <c r="M650" s="1" t="s">
        <v>47</v>
      </c>
      <c r="N650" s="1" t="s">
        <v>48</v>
      </c>
      <c r="O650" s="9">
        <v>4</v>
      </c>
      <c r="P650" s="1">
        <f>ROUNDUP(1250*(1-$F$3),2)</f>
        <v>1250</v>
      </c>
      <c r="Q650" s="1" t="s">
        <v>49</v>
      </c>
      <c r="R650" s="1" t="s">
        <v>3922</v>
      </c>
      <c r="S650" s="1" t="s">
        <v>3923</v>
      </c>
      <c r="T650" s="9">
        <v>10</v>
      </c>
      <c r="U650" s="1">
        <f>ROUNDUP(1136.36*(1-$F$3),2)</f>
        <v>1136.3599999999999</v>
      </c>
      <c r="V650" s="1">
        <v>573</v>
      </c>
      <c r="Y650" s="1" t="s">
        <v>846</v>
      </c>
      <c r="Z650" s="1" t="s">
        <v>76</v>
      </c>
      <c r="AA650" s="12">
        <v>45868</v>
      </c>
      <c r="AB650" s="1" t="s">
        <v>66</v>
      </c>
      <c r="AC650" s="1" t="s">
        <v>143</v>
      </c>
      <c r="AD650" s="1" t="s">
        <v>847</v>
      </c>
      <c r="AE650" s="1" t="s">
        <v>69</v>
      </c>
      <c r="AG650" s="1">
        <v>11801080</v>
      </c>
    </row>
    <row r="651" spans="3:33" s="1" customFormat="1" x14ac:dyDescent="0.25">
      <c r="C651" s="1" t="s">
        <v>3924</v>
      </c>
      <c r="D651" s="1" t="s">
        <v>3921</v>
      </c>
      <c r="E651" s="1" t="s">
        <v>3925</v>
      </c>
      <c r="F651" s="13" t="s">
        <v>6952</v>
      </c>
      <c r="G651" s="1" t="s">
        <v>3926</v>
      </c>
      <c r="H651" s="1" t="s">
        <v>61</v>
      </c>
      <c r="I651" s="1">
        <v>592</v>
      </c>
      <c r="J651" s="1" t="s">
        <v>46</v>
      </c>
      <c r="M651" s="1" t="s">
        <v>47</v>
      </c>
      <c r="N651" s="1" t="s">
        <v>48</v>
      </c>
      <c r="O651" s="9">
        <v>4</v>
      </c>
      <c r="P651" s="1">
        <f>ROUNDUP(1250*(1-$F$3),2)</f>
        <v>1250</v>
      </c>
      <c r="Q651" s="1" t="s">
        <v>49</v>
      </c>
      <c r="R651" s="1" t="s">
        <v>3927</v>
      </c>
      <c r="S651" s="1" t="s">
        <v>3928</v>
      </c>
      <c r="T651" s="9">
        <v>22</v>
      </c>
      <c r="U651" s="1">
        <f>ROUNDUP(1024.59*(1-$F$3),2)</f>
        <v>1024.5899999999999</v>
      </c>
      <c r="V651" s="1">
        <v>649</v>
      </c>
      <c r="Y651" s="1" t="s">
        <v>3929</v>
      </c>
      <c r="Z651" s="1" t="s">
        <v>76</v>
      </c>
      <c r="AA651" s="12">
        <v>45883</v>
      </c>
      <c r="AB651" s="1" t="s">
        <v>66</v>
      </c>
      <c r="AC651" s="1" t="s">
        <v>143</v>
      </c>
      <c r="AD651" s="1" t="s">
        <v>144</v>
      </c>
      <c r="AE651" s="1" t="s">
        <v>69</v>
      </c>
      <c r="AG651" s="1">
        <v>11799590</v>
      </c>
    </row>
    <row r="652" spans="3:33" s="1" customFormat="1" x14ac:dyDescent="0.25">
      <c r="C652" s="1" t="s">
        <v>3930</v>
      </c>
      <c r="D652" s="1" t="s">
        <v>3931</v>
      </c>
      <c r="E652" s="1" t="s">
        <v>3932</v>
      </c>
      <c r="F652" s="13" t="s">
        <v>6952</v>
      </c>
      <c r="G652" s="1" t="s">
        <v>3933</v>
      </c>
      <c r="H652" s="1" t="s">
        <v>160</v>
      </c>
      <c r="I652" s="1">
        <v>208</v>
      </c>
      <c r="J652" s="1" t="s">
        <v>46</v>
      </c>
      <c r="K652" s="1" t="s">
        <v>3934</v>
      </c>
      <c r="M652" s="1" t="s">
        <v>1061</v>
      </c>
      <c r="N652" s="1" t="s">
        <v>48</v>
      </c>
      <c r="O652" s="9">
        <v>14</v>
      </c>
      <c r="P652" s="1">
        <f>ROUNDUP(242.5*(1-$F$3),2)</f>
        <v>242.5</v>
      </c>
      <c r="Q652" s="1" t="s">
        <v>49</v>
      </c>
      <c r="R652" s="1" t="s">
        <v>3935</v>
      </c>
      <c r="S652" s="1" t="s">
        <v>3936</v>
      </c>
      <c r="T652" s="9">
        <v>10</v>
      </c>
      <c r="U652" s="1">
        <f>ROUNDUP(220.45*(1-$F$3),2)</f>
        <v>220.45</v>
      </c>
      <c r="V652" s="1">
        <v>288</v>
      </c>
      <c r="Y652" s="1" t="s">
        <v>3937</v>
      </c>
      <c r="Z652" s="1" t="s">
        <v>128</v>
      </c>
      <c r="AA652" s="12">
        <v>43463</v>
      </c>
      <c r="AB652" s="1" t="s">
        <v>573</v>
      </c>
      <c r="AC652" s="1" t="s">
        <v>66</v>
      </c>
      <c r="AD652" s="1" t="s">
        <v>712</v>
      </c>
      <c r="AE652" s="1" t="s">
        <v>69</v>
      </c>
      <c r="AG652" s="1">
        <v>8897180</v>
      </c>
    </row>
    <row r="653" spans="3:33" s="1" customFormat="1" x14ac:dyDescent="0.25">
      <c r="C653" s="1" t="s">
        <v>3938</v>
      </c>
      <c r="D653" s="1" t="s">
        <v>3931</v>
      </c>
      <c r="E653" s="1" t="s">
        <v>3939</v>
      </c>
      <c r="F653" s="13" t="s">
        <v>6952</v>
      </c>
      <c r="G653" s="1" t="s">
        <v>3933</v>
      </c>
      <c r="H653" s="1" t="s">
        <v>160</v>
      </c>
      <c r="I653" s="1">
        <v>192</v>
      </c>
      <c r="J653" s="1" t="s">
        <v>46</v>
      </c>
      <c r="K653" s="1" t="s">
        <v>3934</v>
      </c>
      <c r="M653" s="1" t="s">
        <v>1061</v>
      </c>
      <c r="N653" s="1" t="s">
        <v>48</v>
      </c>
      <c r="O653" s="9">
        <v>14</v>
      </c>
      <c r="P653" s="1">
        <f>ROUNDUP(242.5*(1-$F$3),2)</f>
        <v>242.5</v>
      </c>
      <c r="Q653" s="1" t="s">
        <v>49</v>
      </c>
      <c r="R653" s="1" t="s">
        <v>3940</v>
      </c>
      <c r="S653" s="1" t="s">
        <v>3941</v>
      </c>
      <c r="T653" s="9">
        <v>10</v>
      </c>
      <c r="U653" s="1">
        <f>ROUNDUP(220.45*(1-$F$3),2)</f>
        <v>220.45</v>
      </c>
      <c r="V653" s="1">
        <v>278</v>
      </c>
      <c r="Y653" s="1" t="s">
        <v>3942</v>
      </c>
      <c r="Z653" s="1" t="s">
        <v>128</v>
      </c>
      <c r="AA653" s="12">
        <v>43463</v>
      </c>
      <c r="AB653" s="1" t="s">
        <v>573</v>
      </c>
      <c r="AC653" s="1" t="s">
        <v>66</v>
      </c>
      <c r="AD653" s="1" t="s">
        <v>712</v>
      </c>
      <c r="AE653" s="1" t="s">
        <v>69</v>
      </c>
      <c r="AG653" s="1">
        <v>8897170</v>
      </c>
    </row>
    <row r="654" spans="3:33" s="1" customFormat="1" x14ac:dyDescent="0.25">
      <c r="C654" s="1" t="s">
        <v>3943</v>
      </c>
      <c r="D654" s="1" t="s">
        <v>3931</v>
      </c>
      <c r="E654" s="1" t="s">
        <v>3944</v>
      </c>
      <c r="F654" s="13" t="s">
        <v>6952</v>
      </c>
      <c r="G654" s="1" t="s">
        <v>3945</v>
      </c>
      <c r="H654" s="1" t="s">
        <v>160</v>
      </c>
      <c r="I654" s="1">
        <v>191</v>
      </c>
      <c r="J654" s="1" t="s">
        <v>46</v>
      </c>
      <c r="K654" s="1" t="s">
        <v>3934</v>
      </c>
      <c r="M654" s="1" t="s">
        <v>1061</v>
      </c>
      <c r="N654" s="1" t="s">
        <v>48</v>
      </c>
      <c r="O654" s="9">
        <v>14</v>
      </c>
      <c r="P654" s="1">
        <f>ROUNDUP(242.5*(1-$F$3),2)</f>
        <v>242.5</v>
      </c>
      <c r="Q654" s="1" t="s">
        <v>49</v>
      </c>
      <c r="R654" s="1" t="s">
        <v>3946</v>
      </c>
      <c r="S654" s="1" t="s">
        <v>3947</v>
      </c>
      <c r="T654" s="9">
        <v>10</v>
      </c>
      <c r="U654" s="1">
        <f>ROUNDUP(220.45*(1-$F$3),2)</f>
        <v>220.45</v>
      </c>
      <c r="V654" s="1">
        <v>276</v>
      </c>
      <c r="Y654" s="1" t="s">
        <v>3948</v>
      </c>
      <c r="Z654" s="1" t="s">
        <v>128</v>
      </c>
      <c r="AA654" s="12">
        <v>43463</v>
      </c>
      <c r="AB654" s="1" t="s">
        <v>573</v>
      </c>
      <c r="AC654" s="1" t="s">
        <v>66</v>
      </c>
      <c r="AD654" s="1" t="s">
        <v>2738</v>
      </c>
      <c r="AE654" s="1" t="s">
        <v>69</v>
      </c>
      <c r="AG654" s="1">
        <v>8897460</v>
      </c>
    </row>
    <row r="655" spans="3:33" s="1" customFormat="1" x14ac:dyDescent="0.25">
      <c r="C655" s="1" t="s">
        <v>3949</v>
      </c>
      <c r="D655" s="1" t="s">
        <v>3931</v>
      </c>
      <c r="E655" s="1" t="s">
        <v>3950</v>
      </c>
      <c r="F655" s="13" t="s">
        <v>6952</v>
      </c>
      <c r="G655" s="1" t="s">
        <v>3933</v>
      </c>
      <c r="H655" s="1" t="s">
        <v>160</v>
      </c>
      <c r="I655" s="1">
        <v>208</v>
      </c>
      <c r="J655" s="1" t="s">
        <v>46</v>
      </c>
      <c r="K655" s="1" t="s">
        <v>3934</v>
      </c>
      <c r="M655" s="1" t="s">
        <v>1061</v>
      </c>
      <c r="N655" s="1" t="s">
        <v>48</v>
      </c>
      <c r="O655" s="9">
        <v>14</v>
      </c>
      <c r="P655" s="1">
        <f>ROUNDUP(242.5*(1-$F$3),2)</f>
        <v>242.5</v>
      </c>
      <c r="Q655" s="1" t="s">
        <v>49</v>
      </c>
      <c r="R655" s="1" t="s">
        <v>3951</v>
      </c>
      <c r="S655" s="1" t="s">
        <v>3952</v>
      </c>
      <c r="T655" s="9">
        <v>10</v>
      </c>
      <c r="U655" s="1">
        <f>ROUNDUP(220.45*(1-$F$3),2)</f>
        <v>220.45</v>
      </c>
      <c r="V655" s="1">
        <v>296</v>
      </c>
      <c r="Y655" s="1" t="s">
        <v>3953</v>
      </c>
      <c r="Z655" s="1" t="s">
        <v>128</v>
      </c>
      <c r="AA655" s="12">
        <v>43463</v>
      </c>
      <c r="AB655" s="1" t="s">
        <v>573</v>
      </c>
      <c r="AC655" s="1" t="s">
        <v>66</v>
      </c>
      <c r="AD655" s="1" t="s">
        <v>712</v>
      </c>
      <c r="AE655" s="1" t="s">
        <v>69</v>
      </c>
      <c r="AG655" s="1">
        <v>8897150</v>
      </c>
    </row>
    <row r="656" spans="3:33" s="1" customFormat="1" x14ac:dyDescent="0.25">
      <c r="C656" s="1" t="s">
        <v>3954</v>
      </c>
      <c r="D656" s="1" t="s">
        <v>3955</v>
      </c>
      <c r="E656" s="1" t="s">
        <v>3956</v>
      </c>
      <c r="F656" s="13" t="s">
        <v>6952</v>
      </c>
      <c r="H656" s="1" t="s">
        <v>160</v>
      </c>
      <c r="I656" s="1">
        <v>78</v>
      </c>
      <c r="J656" s="1" t="s">
        <v>46</v>
      </c>
      <c r="M656" s="1" t="s">
        <v>756</v>
      </c>
      <c r="N656" s="1" t="s">
        <v>48</v>
      </c>
      <c r="O656" s="9">
        <v>75</v>
      </c>
      <c r="P656" s="1">
        <f>ROUNDUP(825*(1-$F$3),2)</f>
        <v>825</v>
      </c>
      <c r="Q656" s="1" t="s">
        <v>49</v>
      </c>
      <c r="R656" s="1" t="s">
        <v>3957</v>
      </c>
      <c r="S656" s="1" t="s">
        <v>3958</v>
      </c>
      <c r="T656" s="9">
        <v>22</v>
      </c>
      <c r="U656" s="1">
        <f>ROUNDUP(676.23*(1-$F$3),2)</f>
        <v>676.23</v>
      </c>
      <c r="V656" s="1">
        <v>183</v>
      </c>
      <c r="Y656" s="1" t="s">
        <v>3959</v>
      </c>
      <c r="Z656" s="1" t="s">
        <v>53</v>
      </c>
      <c r="AA656" s="12">
        <v>44398</v>
      </c>
      <c r="AB656" s="1" t="s">
        <v>286</v>
      </c>
      <c r="AC656" s="1" t="s">
        <v>320</v>
      </c>
      <c r="AD656" s="1" t="s">
        <v>321</v>
      </c>
      <c r="AE656" s="1" t="s">
        <v>322</v>
      </c>
      <c r="AG656" s="1">
        <v>9728970</v>
      </c>
    </row>
    <row r="657" spans="3:33" s="1" customFormat="1" x14ac:dyDescent="0.25">
      <c r="C657" s="1" t="s">
        <v>3960</v>
      </c>
      <c r="D657" s="1" t="s">
        <v>3961</v>
      </c>
      <c r="E657" s="1" t="s">
        <v>3962</v>
      </c>
      <c r="F657" s="13" t="s">
        <v>6952</v>
      </c>
      <c r="G657" s="1" t="s">
        <v>3963</v>
      </c>
      <c r="H657" s="1" t="s">
        <v>160</v>
      </c>
      <c r="I657" s="1">
        <v>384</v>
      </c>
      <c r="J657" s="1" t="s">
        <v>46</v>
      </c>
      <c r="M657" s="1" t="s">
        <v>62</v>
      </c>
      <c r="N657" s="1" t="s">
        <v>48</v>
      </c>
      <c r="O657" s="9">
        <v>10</v>
      </c>
      <c r="P657" s="1">
        <f>ROUNDUP(1150*(1-$F$3),2)</f>
        <v>1150</v>
      </c>
      <c r="Q657" s="1" t="s">
        <v>49</v>
      </c>
      <c r="R657" s="1" t="s">
        <v>3964</v>
      </c>
      <c r="S657" s="1" t="s">
        <v>3965</v>
      </c>
      <c r="T657" s="9">
        <v>22</v>
      </c>
      <c r="U657" s="1">
        <f>ROUNDUP(942.62*(1-$F$3),2)</f>
        <v>942.62</v>
      </c>
      <c r="V657" s="1">
        <v>421</v>
      </c>
      <c r="Y657" s="1" t="s">
        <v>3966</v>
      </c>
      <c r="Z657" s="1" t="s">
        <v>76</v>
      </c>
      <c r="AA657" s="12">
        <v>44511</v>
      </c>
      <c r="AB657" s="1" t="s">
        <v>66</v>
      </c>
      <c r="AC657" s="1" t="s">
        <v>143</v>
      </c>
      <c r="AD657" s="1" t="s">
        <v>144</v>
      </c>
      <c r="AE657" s="1" t="s">
        <v>69</v>
      </c>
      <c r="AG657" s="1">
        <v>9859800</v>
      </c>
    </row>
    <row r="658" spans="3:33" s="1" customFormat="1" x14ac:dyDescent="0.25">
      <c r="C658" s="1" t="s">
        <v>3967</v>
      </c>
      <c r="D658" s="1" t="s">
        <v>3968</v>
      </c>
      <c r="E658" s="1" t="s">
        <v>3969</v>
      </c>
      <c r="F658" s="13" t="s">
        <v>6952</v>
      </c>
      <c r="G658" s="1" t="s">
        <v>3970</v>
      </c>
      <c r="H658" s="1" t="s">
        <v>61</v>
      </c>
      <c r="I658" s="1">
        <v>466</v>
      </c>
      <c r="J658" s="1" t="s">
        <v>46</v>
      </c>
      <c r="M658" s="1" t="s">
        <v>756</v>
      </c>
      <c r="N658" s="1" t="s">
        <v>48</v>
      </c>
      <c r="O658" s="9">
        <v>10</v>
      </c>
      <c r="P658" s="1">
        <f>ROUNDUP(1310*(1-$F$3),2)</f>
        <v>1310</v>
      </c>
      <c r="Q658" s="1" t="s">
        <v>49</v>
      </c>
      <c r="R658" s="1" t="s">
        <v>3971</v>
      </c>
      <c r="S658" s="1" t="s">
        <v>3972</v>
      </c>
      <c r="T658" s="9">
        <v>10</v>
      </c>
      <c r="U658" s="1">
        <f>ROUNDUP(1190.91*(1-$F$3),2)</f>
        <v>1190.9100000000001</v>
      </c>
      <c r="V658" s="1">
        <v>593</v>
      </c>
      <c r="Y658" s="1" t="s">
        <v>3973</v>
      </c>
      <c r="Z658" s="1" t="s">
        <v>76</v>
      </c>
      <c r="AA658" s="12">
        <v>44347</v>
      </c>
      <c r="AB658" s="1" t="s">
        <v>66</v>
      </c>
      <c r="AC658" s="1" t="s">
        <v>77</v>
      </c>
      <c r="AD658" s="1" t="s">
        <v>78</v>
      </c>
      <c r="AE658" s="1" t="s">
        <v>69</v>
      </c>
      <c r="AG658" s="1">
        <v>9725200</v>
      </c>
    </row>
    <row r="659" spans="3:33" s="1" customFormat="1" x14ac:dyDescent="0.25">
      <c r="C659" s="1" t="s">
        <v>3974</v>
      </c>
      <c r="D659" s="1" t="s">
        <v>3975</v>
      </c>
      <c r="E659" s="1" t="s">
        <v>3976</v>
      </c>
      <c r="F659" s="13" t="s">
        <v>6952</v>
      </c>
      <c r="G659" s="1" t="s">
        <v>3977</v>
      </c>
      <c r="H659" s="1" t="s">
        <v>724</v>
      </c>
      <c r="I659" s="1">
        <v>112</v>
      </c>
      <c r="J659" s="1" t="s">
        <v>46</v>
      </c>
      <c r="M659" s="1" t="s">
        <v>176</v>
      </c>
      <c r="N659" s="1" t="s">
        <v>48</v>
      </c>
      <c r="O659" s="9">
        <v>5</v>
      </c>
      <c r="P659" s="1">
        <f>ROUNDUP(1118*(1-$F$3),2)</f>
        <v>1118</v>
      </c>
      <c r="Q659" s="1" t="s">
        <v>49</v>
      </c>
      <c r="R659" s="1" t="s">
        <v>3978</v>
      </c>
      <c r="S659" s="1" t="s">
        <v>3979</v>
      </c>
      <c r="T659" s="9">
        <v>10</v>
      </c>
      <c r="U659" s="1">
        <f>ROUNDUP(1016.36*(1-$F$3),2)</f>
        <v>1016.36</v>
      </c>
      <c r="V659" s="1">
        <v>502</v>
      </c>
      <c r="Y659" s="1" t="s">
        <v>3980</v>
      </c>
      <c r="Z659" s="1" t="s">
        <v>53</v>
      </c>
      <c r="AA659" s="12">
        <v>45198</v>
      </c>
      <c r="AB659" s="1" t="s">
        <v>445</v>
      </c>
      <c r="AC659" s="1" t="s">
        <v>737</v>
      </c>
      <c r="AD659" s="1" t="s">
        <v>2417</v>
      </c>
      <c r="AE659" s="1" t="s">
        <v>57</v>
      </c>
      <c r="AG659" s="1">
        <v>11018870</v>
      </c>
    </row>
    <row r="660" spans="3:33" s="1" customFormat="1" x14ac:dyDescent="0.25">
      <c r="C660" s="1" t="s">
        <v>3981</v>
      </c>
      <c r="D660" s="1" t="s">
        <v>3975</v>
      </c>
      <c r="E660" s="1" t="s">
        <v>3982</v>
      </c>
      <c r="F660" s="13" t="s">
        <v>6952</v>
      </c>
      <c r="G660" s="1" t="s">
        <v>3983</v>
      </c>
      <c r="H660" s="1" t="s">
        <v>724</v>
      </c>
      <c r="I660" s="1">
        <v>112</v>
      </c>
      <c r="J660" s="1" t="s">
        <v>46</v>
      </c>
      <c r="M660" s="1" t="s">
        <v>176</v>
      </c>
      <c r="N660" s="1" t="s">
        <v>48</v>
      </c>
      <c r="O660" s="9">
        <v>5</v>
      </c>
      <c r="P660" s="1">
        <f>ROUNDUP(1090*(1-$F$3),2)</f>
        <v>1090</v>
      </c>
      <c r="Q660" s="1" t="s">
        <v>49</v>
      </c>
      <c r="R660" s="1" t="s">
        <v>3984</v>
      </c>
      <c r="S660" s="1" t="s">
        <v>3985</v>
      </c>
      <c r="T660" s="9">
        <v>10</v>
      </c>
      <c r="U660" s="1">
        <f>ROUNDUP(990.91*(1-$F$3),2)</f>
        <v>990.91</v>
      </c>
      <c r="V660" s="1">
        <v>499</v>
      </c>
      <c r="Y660" s="1" t="s">
        <v>3986</v>
      </c>
      <c r="Z660" s="1" t="s">
        <v>53</v>
      </c>
      <c r="AA660" s="12">
        <v>44895</v>
      </c>
      <c r="AB660" s="1" t="s">
        <v>445</v>
      </c>
      <c r="AC660" s="1" t="s">
        <v>737</v>
      </c>
      <c r="AD660" s="1" t="s">
        <v>2417</v>
      </c>
      <c r="AE660" s="1" t="s">
        <v>57</v>
      </c>
      <c r="AG660" s="1">
        <v>10631160</v>
      </c>
    </row>
    <row r="661" spans="3:33" s="1" customFormat="1" x14ac:dyDescent="0.25">
      <c r="C661" s="1" t="s">
        <v>3987</v>
      </c>
      <c r="D661" s="1" t="s">
        <v>3975</v>
      </c>
      <c r="E661" s="1" t="s">
        <v>3988</v>
      </c>
      <c r="F661" s="13" t="s">
        <v>6952</v>
      </c>
      <c r="G661" s="1" t="s">
        <v>3977</v>
      </c>
      <c r="H661" s="1" t="s">
        <v>724</v>
      </c>
      <c r="I661" s="1">
        <v>112</v>
      </c>
      <c r="J661" s="1" t="s">
        <v>46</v>
      </c>
      <c r="M661" s="1" t="s">
        <v>176</v>
      </c>
      <c r="N661" s="1" t="s">
        <v>48</v>
      </c>
      <c r="O661" s="9">
        <v>5</v>
      </c>
      <c r="P661" s="1">
        <f>ROUNDUP(1200*(1-$F$3),2)</f>
        <v>1200</v>
      </c>
      <c r="Q661" s="1" t="s">
        <v>49</v>
      </c>
      <c r="R661" s="1" t="s">
        <v>3989</v>
      </c>
      <c r="S661" s="1" t="s">
        <v>3990</v>
      </c>
      <c r="T661" s="9">
        <v>10</v>
      </c>
      <c r="U661" s="1">
        <f>ROUNDUP(1090.91*(1-$F$3),2)</f>
        <v>1090.9100000000001</v>
      </c>
      <c r="V661" s="1">
        <v>503</v>
      </c>
      <c r="Y661" s="1" t="s">
        <v>3991</v>
      </c>
      <c r="Z661" s="1" t="s">
        <v>53</v>
      </c>
      <c r="AA661" s="12">
        <v>45198</v>
      </c>
      <c r="AB661" s="1" t="s">
        <v>445</v>
      </c>
      <c r="AC661" s="1" t="s">
        <v>737</v>
      </c>
      <c r="AD661" s="1" t="s">
        <v>2417</v>
      </c>
      <c r="AE661" s="1" t="s">
        <v>57</v>
      </c>
      <c r="AG661" s="1">
        <v>11018880</v>
      </c>
    </row>
    <row r="662" spans="3:33" s="1" customFormat="1" x14ac:dyDescent="0.25">
      <c r="C662" s="1" t="s">
        <v>3992</v>
      </c>
      <c r="D662" s="1" t="s">
        <v>3975</v>
      </c>
      <c r="E662" s="1" t="s">
        <v>3993</v>
      </c>
      <c r="F662" s="13" t="s">
        <v>6952</v>
      </c>
      <c r="G662" s="1" t="s">
        <v>3977</v>
      </c>
      <c r="H662" s="1" t="s">
        <v>724</v>
      </c>
      <c r="I662" s="1">
        <v>112</v>
      </c>
      <c r="J662" s="1" t="s">
        <v>46</v>
      </c>
      <c r="M662" s="1" t="s">
        <v>176</v>
      </c>
      <c r="N662" s="1" t="s">
        <v>48</v>
      </c>
      <c r="O662" s="9">
        <v>5</v>
      </c>
      <c r="P662" s="1">
        <f>ROUNDUP(1118*(1-$F$3),2)</f>
        <v>1118</v>
      </c>
      <c r="Q662" s="1" t="s">
        <v>49</v>
      </c>
      <c r="R662" s="1" t="s">
        <v>3994</v>
      </c>
      <c r="S662" s="1" t="s">
        <v>3995</v>
      </c>
      <c r="T662" s="9">
        <v>10</v>
      </c>
      <c r="U662" s="1">
        <f>ROUNDUP(1016.36*(1-$F$3),2)</f>
        <v>1016.36</v>
      </c>
      <c r="V662" s="1">
        <v>502</v>
      </c>
      <c r="Y662" s="1" t="s">
        <v>3996</v>
      </c>
      <c r="Z662" s="1" t="s">
        <v>53</v>
      </c>
      <c r="AA662" s="12">
        <v>45198</v>
      </c>
      <c r="AB662" s="1" t="s">
        <v>445</v>
      </c>
      <c r="AC662" s="1" t="s">
        <v>737</v>
      </c>
      <c r="AD662" s="1" t="s">
        <v>2417</v>
      </c>
      <c r="AE662" s="1" t="s">
        <v>57</v>
      </c>
      <c r="AG662" s="1">
        <v>11018900</v>
      </c>
    </row>
    <row r="663" spans="3:33" s="1" customFormat="1" x14ac:dyDescent="0.25">
      <c r="C663" s="1" t="s">
        <v>3997</v>
      </c>
      <c r="D663" s="1" t="s">
        <v>3975</v>
      </c>
      <c r="E663" s="1" t="s">
        <v>3998</v>
      </c>
      <c r="F663" s="13" t="s">
        <v>6952</v>
      </c>
      <c r="G663" s="1" t="s">
        <v>3977</v>
      </c>
      <c r="H663" s="1" t="s">
        <v>724</v>
      </c>
      <c r="I663" s="1">
        <v>112</v>
      </c>
      <c r="J663" s="1" t="s">
        <v>46</v>
      </c>
      <c r="M663" s="1" t="s">
        <v>176</v>
      </c>
      <c r="N663" s="1" t="s">
        <v>48</v>
      </c>
      <c r="O663" s="9">
        <v>5</v>
      </c>
      <c r="P663" s="1">
        <f>ROUNDUP(1118*(1-$F$3),2)</f>
        <v>1118</v>
      </c>
      <c r="Q663" s="1" t="s">
        <v>49</v>
      </c>
      <c r="R663" s="1" t="s">
        <v>3999</v>
      </c>
      <c r="S663" s="1" t="s">
        <v>4000</v>
      </c>
      <c r="T663" s="9">
        <v>10</v>
      </c>
      <c r="U663" s="1">
        <f>ROUNDUP(1016.36*(1-$F$3),2)</f>
        <v>1016.36</v>
      </c>
      <c r="V663" s="1">
        <v>502</v>
      </c>
      <c r="Y663" s="1" t="s">
        <v>4001</v>
      </c>
      <c r="Z663" s="1" t="s">
        <v>53</v>
      </c>
      <c r="AA663" s="12">
        <v>45198</v>
      </c>
      <c r="AB663" s="1" t="s">
        <v>445</v>
      </c>
      <c r="AC663" s="1" t="s">
        <v>737</v>
      </c>
      <c r="AD663" s="1" t="s">
        <v>2417</v>
      </c>
      <c r="AE663" s="1" t="s">
        <v>57</v>
      </c>
      <c r="AG663" s="1">
        <v>11018950</v>
      </c>
    </row>
    <row r="664" spans="3:33" s="1" customFormat="1" x14ac:dyDescent="0.25">
      <c r="C664" s="1" t="s">
        <v>4002</v>
      </c>
      <c r="D664" s="1" t="s">
        <v>3975</v>
      </c>
      <c r="E664" s="1" t="s">
        <v>4003</v>
      </c>
      <c r="F664" s="13" t="s">
        <v>6952</v>
      </c>
      <c r="G664" s="1" t="s">
        <v>3977</v>
      </c>
      <c r="H664" s="1" t="s">
        <v>724</v>
      </c>
      <c r="I664" s="1">
        <v>112</v>
      </c>
      <c r="J664" s="1" t="s">
        <v>46</v>
      </c>
      <c r="M664" s="1" t="s">
        <v>176</v>
      </c>
      <c r="N664" s="1" t="s">
        <v>48</v>
      </c>
      <c r="O664" s="9">
        <v>5</v>
      </c>
      <c r="P664" s="1">
        <f>ROUNDUP(1118*(1-$F$3),2)</f>
        <v>1118</v>
      </c>
      <c r="Q664" s="1" t="s">
        <v>49</v>
      </c>
      <c r="R664" s="1" t="s">
        <v>4004</v>
      </c>
      <c r="S664" s="1" t="s">
        <v>4005</v>
      </c>
      <c r="T664" s="9">
        <v>10</v>
      </c>
      <c r="U664" s="1">
        <f>ROUNDUP(1016.36*(1-$F$3),2)</f>
        <v>1016.36</v>
      </c>
      <c r="V664" s="1">
        <v>499</v>
      </c>
      <c r="Y664" s="1" t="s">
        <v>4006</v>
      </c>
      <c r="Z664" s="1" t="s">
        <v>53</v>
      </c>
      <c r="AA664" s="12">
        <v>45198</v>
      </c>
      <c r="AB664" s="1" t="s">
        <v>445</v>
      </c>
      <c r="AC664" s="1" t="s">
        <v>737</v>
      </c>
      <c r="AD664" s="1" t="s">
        <v>2417</v>
      </c>
      <c r="AE664" s="1" t="s">
        <v>57</v>
      </c>
      <c r="AG664" s="1">
        <v>11018910</v>
      </c>
    </row>
    <row r="665" spans="3:33" s="1" customFormat="1" x14ac:dyDescent="0.25">
      <c r="C665" s="1" t="s">
        <v>4007</v>
      </c>
      <c r="D665" s="1" t="s">
        <v>4008</v>
      </c>
      <c r="E665" s="1" t="s">
        <v>1533</v>
      </c>
      <c r="F665" s="13" t="s">
        <v>6952</v>
      </c>
      <c r="G665" s="1" t="s">
        <v>750</v>
      </c>
      <c r="H665" s="1" t="s">
        <v>61</v>
      </c>
      <c r="I665" s="1">
        <v>496</v>
      </c>
      <c r="J665" s="1" t="s">
        <v>46</v>
      </c>
      <c r="K665" s="1" t="s">
        <v>1566</v>
      </c>
      <c r="M665" s="1" t="s">
        <v>47</v>
      </c>
      <c r="N665" s="1" t="s">
        <v>48</v>
      </c>
      <c r="O665" s="9">
        <v>5</v>
      </c>
      <c r="P665" s="1">
        <f>ROUNDUP(1520*(1-$F$3),2)</f>
        <v>1520</v>
      </c>
      <c r="Q665" s="1" t="s">
        <v>49</v>
      </c>
      <c r="R665" s="1" t="s">
        <v>4009</v>
      </c>
      <c r="S665" s="1" t="s">
        <v>4010</v>
      </c>
      <c r="T665" s="9">
        <v>22</v>
      </c>
      <c r="U665" s="1">
        <f>ROUNDUP(1245.9*(1-$F$3),2)</f>
        <v>1245.9000000000001</v>
      </c>
      <c r="V665" s="1">
        <v>576</v>
      </c>
      <c r="Y665" s="1" t="s">
        <v>1536</v>
      </c>
      <c r="Z665" s="1" t="s">
        <v>76</v>
      </c>
      <c r="AA665" s="12">
        <v>43381</v>
      </c>
      <c r="AB665" s="1" t="s">
        <v>66</v>
      </c>
      <c r="AC665" s="1" t="s">
        <v>120</v>
      </c>
      <c r="AD665" s="1" t="s">
        <v>121</v>
      </c>
      <c r="AE665" s="1" t="s">
        <v>878</v>
      </c>
      <c r="AG665" s="1">
        <v>8805590</v>
      </c>
    </row>
    <row r="666" spans="3:33" s="1" customFormat="1" x14ac:dyDescent="0.25">
      <c r="C666" s="1" t="s">
        <v>4011</v>
      </c>
      <c r="D666" s="1" t="s">
        <v>4008</v>
      </c>
      <c r="E666" s="1" t="s">
        <v>920</v>
      </c>
      <c r="F666" s="13" t="s">
        <v>6952</v>
      </c>
      <c r="G666" s="1" t="s">
        <v>750</v>
      </c>
      <c r="H666" s="1" t="s">
        <v>61</v>
      </c>
      <c r="I666" s="1">
        <v>640</v>
      </c>
      <c r="J666" s="1" t="s">
        <v>46</v>
      </c>
      <c r="M666" s="1" t="s">
        <v>835</v>
      </c>
      <c r="N666" s="1" t="s">
        <v>48</v>
      </c>
      <c r="O666" s="9">
        <v>6</v>
      </c>
      <c r="P666" s="1">
        <f>ROUNDUP(1190*(1-$F$3),2)</f>
        <v>1190</v>
      </c>
      <c r="Q666" s="1" t="s">
        <v>49</v>
      </c>
      <c r="R666" s="1" t="s">
        <v>4012</v>
      </c>
      <c r="S666" s="1" t="s">
        <v>4013</v>
      </c>
      <c r="T666" s="9">
        <v>10</v>
      </c>
      <c r="U666" s="1">
        <f>ROUNDUP(1081.82*(1-$F$3),2)</f>
        <v>1081.82</v>
      </c>
      <c r="V666" s="1">
        <v>677</v>
      </c>
      <c r="Y666" s="1" t="s">
        <v>923</v>
      </c>
      <c r="Z666" s="1" t="s">
        <v>76</v>
      </c>
      <c r="AA666" s="12">
        <v>44063</v>
      </c>
      <c r="AB666" s="1" t="s">
        <v>66</v>
      </c>
      <c r="AC666" s="1" t="s">
        <v>120</v>
      </c>
      <c r="AD666" s="1" t="s">
        <v>121</v>
      </c>
      <c r="AE666" s="1" t="s">
        <v>69</v>
      </c>
      <c r="AG666" s="1">
        <v>9448180</v>
      </c>
    </row>
    <row r="667" spans="3:33" s="1" customFormat="1" x14ac:dyDescent="0.25">
      <c r="C667" s="1" t="s">
        <v>4014</v>
      </c>
      <c r="D667" s="1" t="s">
        <v>4008</v>
      </c>
      <c r="E667" s="1" t="s">
        <v>4015</v>
      </c>
      <c r="F667" s="13" t="s">
        <v>6952</v>
      </c>
      <c r="G667" s="1" t="s">
        <v>750</v>
      </c>
      <c r="H667" s="1" t="s">
        <v>61</v>
      </c>
      <c r="I667" s="1">
        <v>528</v>
      </c>
      <c r="J667" s="1" t="s">
        <v>46</v>
      </c>
      <c r="M667" s="1" t="s">
        <v>169</v>
      </c>
      <c r="N667" s="1" t="s">
        <v>48</v>
      </c>
      <c r="O667" s="9">
        <v>10</v>
      </c>
      <c r="P667" s="1">
        <f>ROUNDUP(1390*(1-$F$3),2)</f>
        <v>1390</v>
      </c>
      <c r="Q667" s="1" t="s">
        <v>49</v>
      </c>
      <c r="R667" s="1" t="s">
        <v>4016</v>
      </c>
      <c r="S667" s="1" t="s">
        <v>4017</v>
      </c>
      <c r="T667" s="9">
        <v>10</v>
      </c>
      <c r="U667" s="1">
        <f>ROUNDUP(1263.64*(1-$F$3),2)</f>
        <v>1263.6400000000001</v>
      </c>
      <c r="V667" s="1">
        <v>609</v>
      </c>
      <c r="Y667" s="1" t="s">
        <v>4018</v>
      </c>
      <c r="Z667" s="1" t="s">
        <v>76</v>
      </c>
      <c r="AA667" s="12">
        <v>44478</v>
      </c>
      <c r="AB667" s="1" t="s">
        <v>66</v>
      </c>
      <c r="AC667" s="1" t="s">
        <v>120</v>
      </c>
      <c r="AD667" s="1" t="s">
        <v>121</v>
      </c>
      <c r="AE667" s="1" t="s">
        <v>69</v>
      </c>
      <c r="AG667" s="1">
        <v>9861000</v>
      </c>
    </row>
    <row r="668" spans="3:33" s="1" customFormat="1" x14ac:dyDescent="0.25">
      <c r="C668" s="1" t="s">
        <v>4019</v>
      </c>
      <c r="D668" s="1" t="s">
        <v>4008</v>
      </c>
      <c r="E668" s="1" t="s">
        <v>4020</v>
      </c>
      <c r="F668" s="13" t="s">
        <v>6952</v>
      </c>
      <c r="G668" s="1" t="s">
        <v>874</v>
      </c>
      <c r="H668" s="1" t="s">
        <v>160</v>
      </c>
      <c r="I668" s="1">
        <v>400</v>
      </c>
      <c r="J668" s="1" t="s">
        <v>46</v>
      </c>
      <c r="M668" s="1" t="s">
        <v>756</v>
      </c>
      <c r="N668" s="1" t="s">
        <v>48</v>
      </c>
      <c r="O668" s="9">
        <v>8</v>
      </c>
      <c r="P668" s="1">
        <f>ROUNDUP(1240*(1-$F$3),2)</f>
        <v>1240</v>
      </c>
      <c r="Q668" s="1" t="s">
        <v>49</v>
      </c>
      <c r="R668" s="1" t="s">
        <v>4021</v>
      </c>
      <c r="S668" s="1" t="s">
        <v>4022</v>
      </c>
      <c r="T668" s="9">
        <v>10</v>
      </c>
      <c r="U668" s="1">
        <f>ROUNDUP(1127.27*(1-$F$3),2)</f>
        <v>1127.27</v>
      </c>
      <c r="V668" s="1">
        <v>405</v>
      </c>
      <c r="Y668" s="1" t="s">
        <v>4023</v>
      </c>
      <c r="Z668" s="1" t="s">
        <v>76</v>
      </c>
      <c r="AA668" s="12">
        <v>44444</v>
      </c>
      <c r="AB668" s="1" t="s">
        <v>66</v>
      </c>
      <c r="AC668" s="1" t="s">
        <v>120</v>
      </c>
      <c r="AD668" s="1" t="s">
        <v>343</v>
      </c>
      <c r="AE668" s="1" t="s">
        <v>69</v>
      </c>
      <c r="AG668" s="1">
        <v>9767040</v>
      </c>
    </row>
    <row r="669" spans="3:33" s="1" customFormat="1" x14ac:dyDescent="0.25">
      <c r="C669" s="1" t="s">
        <v>4024</v>
      </c>
      <c r="D669" s="1" t="s">
        <v>4008</v>
      </c>
      <c r="E669" s="1" t="s">
        <v>1558</v>
      </c>
      <c r="F669" s="13" t="s">
        <v>6952</v>
      </c>
      <c r="G669" s="1" t="s">
        <v>1559</v>
      </c>
      <c r="H669" s="1" t="s">
        <v>61</v>
      </c>
      <c r="I669" s="1">
        <v>288</v>
      </c>
      <c r="J669" s="1" t="s">
        <v>46</v>
      </c>
      <c r="M669" s="1" t="s">
        <v>756</v>
      </c>
      <c r="N669" s="1" t="s">
        <v>139</v>
      </c>
      <c r="O669" s="9">
        <v>12</v>
      </c>
      <c r="P669" s="1">
        <f>ROUNDUP(930*(1-$F$3),2)</f>
        <v>930</v>
      </c>
      <c r="Q669" s="1" t="s">
        <v>49</v>
      </c>
      <c r="R669" s="1" t="s">
        <v>4025</v>
      </c>
      <c r="S669" s="1" t="s">
        <v>4026</v>
      </c>
      <c r="T669" s="9">
        <v>10</v>
      </c>
      <c r="U669" s="1">
        <f>ROUNDUP(845.45*(1-$F$3),2)</f>
        <v>845.45</v>
      </c>
      <c r="V669" s="1">
        <v>299</v>
      </c>
      <c r="Y669" s="1" t="s">
        <v>1562</v>
      </c>
      <c r="Z669" s="1" t="s">
        <v>53</v>
      </c>
      <c r="AA669" s="12">
        <v>44518</v>
      </c>
      <c r="AB669" s="1" t="s">
        <v>66</v>
      </c>
      <c r="AC669" s="1" t="s">
        <v>143</v>
      </c>
      <c r="AD669" s="1" t="s">
        <v>144</v>
      </c>
      <c r="AE669" s="1" t="s">
        <v>69</v>
      </c>
      <c r="AG669" s="1">
        <v>9859750</v>
      </c>
    </row>
    <row r="670" spans="3:33" s="1" customFormat="1" x14ac:dyDescent="0.25">
      <c r="C670" s="1" t="s">
        <v>4027</v>
      </c>
      <c r="D670" s="1" t="s">
        <v>4008</v>
      </c>
      <c r="E670" s="1" t="s">
        <v>4028</v>
      </c>
      <c r="F670" s="13" t="s">
        <v>6952</v>
      </c>
      <c r="G670" s="1" t="s">
        <v>4029</v>
      </c>
      <c r="H670" s="1" t="s">
        <v>637</v>
      </c>
      <c r="I670" s="1">
        <v>352</v>
      </c>
      <c r="J670" s="1" t="s">
        <v>46</v>
      </c>
      <c r="M670" s="1" t="s">
        <v>161</v>
      </c>
      <c r="N670" s="1" t="s">
        <v>48</v>
      </c>
      <c r="O670" s="9">
        <v>5</v>
      </c>
      <c r="P670" s="1">
        <f>ROUNDUP(3230*(1-$F$3),2)</f>
        <v>3230</v>
      </c>
      <c r="Q670" s="1" t="s">
        <v>49</v>
      </c>
      <c r="R670" s="1" t="s">
        <v>4030</v>
      </c>
      <c r="S670" s="1" t="s">
        <v>4031</v>
      </c>
      <c r="T670" s="9">
        <v>10</v>
      </c>
      <c r="U670" s="1">
        <f>ROUNDUP(2936.36*(1-$F$3),2)</f>
        <v>2936.36</v>
      </c>
      <c r="V670" s="1">
        <v>772</v>
      </c>
      <c r="Y670" s="1" t="s">
        <v>4032</v>
      </c>
      <c r="Z670" s="1" t="s">
        <v>53</v>
      </c>
      <c r="AA670" s="12">
        <v>44905</v>
      </c>
      <c r="AB670" s="1" t="s">
        <v>66</v>
      </c>
      <c r="AC670" s="1" t="s">
        <v>77</v>
      </c>
      <c r="AD670" s="1" t="s">
        <v>78</v>
      </c>
      <c r="AE670" s="1" t="s">
        <v>69</v>
      </c>
      <c r="AG670" s="1">
        <v>10702370</v>
      </c>
    </row>
    <row r="671" spans="3:33" s="1" customFormat="1" x14ac:dyDescent="0.25">
      <c r="C671" s="1" t="s">
        <v>4033</v>
      </c>
      <c r="D671" s="1" t="s">
        <v>4008</v>
      </c>
      <c r="E671" s="1" t="s">
        <v>4034</v>
      </c>
      <c r="F671" s="13" t="s">
        <v>6952</v>
      </c>
      <c r="G671" s="1" t="s">
        <v>4035</v>
      </c>
      <c r="H671" s="1" t="s">
        <v>61</v>
      </c>
      <c r="I671" s="1">
        <v>384</v>
      </c>
      <c r="J671" s="1" t="s">
        <v>46</v>
      </c>
      <c r="M671" s="1" t="s">
        <v>161</v>
      </c>
      <c r="N671" s="1" t="s">
        <v>48</v>
      </c>
      <c r="O671" s="9">
        <v>10</v>
      </c>
      <c r="P671" s="1">
        <f>ROUNDUP(1340*(1-$F$3),2)</f>
        <v>1340</v>
      </c>
      <c r="Q671" s="1" t="s">
        <v>49</v>
      </c>
      <c r="R671" s="1" t="s">
        <v>4036</v>
      </c>
      <c r="S671" s="1" t="s">
        <v>4037</v>
      </c>
      <c r="T671" s="9">
        <v>10</v>
      </c>
      <c r="U671" s="1">
        <f>ROUNDUP(1218.18*(1-$F$3),2)</f>
        <v>1218.18</v>
      </c>
      <c r="V671" s="1">
        <v>532</v>
      </c>
      <c r="Y671" s="1" t="s">
        <v>4038</v>
      </c>
      <c r="Z671" s="1" t="s">
        <v>53</v>
      </c>
      <c r="AA671" s="12">
        <v>44936</v>
      </c>
      <c r="AB671" s="1" t="s">
        <v>234</v>
      </c>
      <c r="AC671" s="1" t="s">
        <v>528</v>
      </c>
      <c r="AD671" s="1" t="s">
        <v>529</v>
      </c>
      <c r="AE671" s="1" t="s">
        <v>69</v>
      </c>
      <c r="AG671" s="1">
        <v>10739840</v>
      </c>
    </row>
    <row r="672" spans="3:33" s="1" customFormat="1" x14ac:dyDescent="0.25">
      <c r="C672" s="1" t="s">
        <v>4039</v>
      </c>
      <c r="D672" s="1" t="s">
        <v>4008</v>
      </c>
      <c r="E672" s="1" t="s">
        <v>4040</v>
      </c>
      <c r="F672" s="13" t="s">
        <v>6952</v>
      </c>
      <c r="G672" s="1" t="s">
        <v>961</v>
      </c>
      <c r="H672" s="1" t="s">
        <v>61</v>
      </c>
      <c r="I672" s="1">
        <v>336</v>
      </c>
      <c r="J672" s="1" t="s">
        <v>46</v>
      </c>
      <c r="M672" s="1" t="s">
        <v>756</v>
      </c>
      <c r="N672" s="1" t="s">
        <v>48</v>
      </c>
      <c r="O672" s="9">
        <v>10</v>
      </c>
      <c r="P672" s="1">
        <f>ROUNDUP(1070*(1-$F$3),2)</f>
        <v>1070</v>
      </c>
      <c r="Q672" s="1" t="s">
        <v>49</v>
      </c>
      <c r="R672" s="1" t="s">
        <v>4041</v>
      </c>
      <c r="S672" s="1" t="s">
        <v>4042</v>
      </c>
      <c r="T672" s="9">
        <v>10</v>
      </c>
      <c r="U672" s="1">
        <f>ROUNDUP(972.73*(1-$F$3),2)</f>
        <v>972.73</v>
      </c>
      <c r="V672" s="1">
        <v>432</v>
      </c>
      <c r="Y672" s="1" t="s">
        <v>4043</v>
      </c>
      <c r="Z672" s="1" t="s">
        <v>53</v>
      </c>
      <c r="AA672" s="12">
        <v>44270</v>
      </c>
      <c r="AB672" s="1" t="s">
        <v>66</v>
      </c>
      <c r="AC672" s="1" t="s">
        <v>67</v>
      </c>
      <c r="AD672" s="1" t="s">
        <v>165</v>
      </c>
      <c r="AE672" s="1" t="s">
        <v>69</v>
      </c>
      <c r="AG672" s="1">
        <v>9636200</v>
      </c>
    </row>
    <row r="673" spans="3:33" s="1" customFormat="1" x14ac:dyDescent="0.25">
      <c r="C673" s="1" t="s">
        <v>4044</v>
      </c>
      <c r="D673" s="1" t="s">
        <v>4008</v>
      </c>
      <c r="E673" s="1" t="s">
        <v>4045</v>
      </c>
      <c r="F673" s="13" t="s">
        <v>6952</v>
      </c>
      <c r="G673" s="1" t="s">
        <v>973</v>
      </c>
      <c r="H673" s="1" t="s">
        <v>637</v>
      </c>
      <c r="I673" s="1">
        <v>688</v>
      </c>
      <c r="J673" s="1" t="s">
        <v>46</v>
      </c>
      <c r="M673" s="1" t="s">
        <v>161</v>
      </c>
      <c r="N673" s="1" t="s">
        <v>48</v>
      </c>
      <c r="O673" s="9">
        <v>4</v>
      </c>
      <c r="P673" s="1">
        <f>ROUNDUP(1910*(1-$F$3),2)</f>
        <v>1910</v>
      </c>
      <c r="Q673" s="1" t="s">
        <v>49</v>
      </c>
      <c r="R673" s="1" t="s">
        <v>4046</v>
      </c>
      <c r="S673" s="1" t="s">
        <v>4047</v>
      </c>
      <c r="T673" s="9">
        <v>22</v>
      </c>
      <c r="U673" s="1">
        <f>ROUNDUP(1565.57*(1-$F$3),2)</f>
        <v>1565.57</v>
      </c>
      <c r="V673" s="1">
        <v>925</v>
      </c>
      <c r="Y673" s="1" t="s">
        <v>4048</v>
      </c>
      <c r="Z673" s="1" t="s">
        <v>76</v>
      </c>
      <c r="AA673" s="12">
        <v>44905</v>
      </c>
      <c r="AB673" s="1" t="s">
        <v>66</v>
      </c>
      <c r="AC673" s="1" t="s">
        <v>683</v>
      </c>
      <c r="AD673" s="1" t="s">
        <v>684</v>
      </c>
      <c r="AE673" s="1" t="s">
        <v>69</v>
      </c>
      <c r="AG673" s="1">
        <v>10746610</v>
      </c>
    </row>
    <row r="674" spans="3:33" s="1" customFormat="1" x14ac:dyDescent="0.25">
      <c r="C674" s="1" t="s">
        <v>4049</v>
      </c>
      <c r="D674" s="1" t="s">
        <v>4008</v>
      </c>
      <c r="E674" s="1" t="s">
        <v>4050</v>
      </c>
      <c r="F674" s="13" t="s">
        <v>6952</v>
      </c>
      <c r="G674" s="1" t="s">
        <v>973</v>
      </c>
      <c r="H674" s="1" t="s">
        <v>637</v>
      </c>
      <c r="I674" s="1">
        <v>1224</v>
      </c>
      <c r="J674" s="1" t="s">
        <v>46</v>
      </c>
      <c r="K674" s="1" t="s">
        <v>4051</v>
      </c>
      <c r="M674" s="1" t="s">
        <v>47</v>
      </c>
      <c r="N674" s="1" t="s">
        <v>48</v>
      </c>
      <c r="O674" s="9"/>
      <c r="P674" s="1">
        <f>ROUNDUP(2882*(1-$F$3),2)</f>
        <v>2882</v>
      </c>
      <c r="Q674" s="1" t="s">
        <v>49</v>
      </c>
      <c r="R674" s="1" t="s">
        <v>4052</v>
      </c>
      <c r="S674" s="1" t="s">
        <v>4053</v>
      </c>
      <c r="T674" s="9">
        <v>22</v>
      </c>
      <c r="U674" s="1">
        <f>ROUNDUP(2362.3*(1-$F$3),2)</f>
        <v>2362.3000000000002</v>
      </c>
      <c r="V674" s="1">
        <v>1523</v>
      </c>
      <c r="Y674" s="1" t="s">
        <v>4054</v>
      </c>
      <c r="Z674" s="1" t="s">
        <v>76</v>
      </c>
      <c r="AA674" s="12">
        <v>45643</v>
      </c>
      <c r="AB674" s="1" t="s">
        <v>66</v>
      </c>
      <c r="AC674" s="1" t="s">
        <v>77</v>
      </c>
      <c r="AD674" s="1" t="s">
        <v>78</v>
      </c>
      <c r="AE674" s="1" t="s">
        <v>69</v>
      </c>
      <c r="AG674" s="1">
        <v>11599470</v>
      </c>
    </row>
    <row r="675" spans="3:33" s="1" customFormat="1" x14ac:dyDescent="0.25">
      <c r="C675" s="1" t="s">
        <v>4055</v>
      </c>
      <c r="D675" s="1" t="s">
        <v>4008</v>
      </c>
      <c r="E675" s="1" t="s">
        <v>4056</v>
      </c>
      <c r="F675" s="13" t="s">
        <v>6952</v>
      </c>
      <c r="G675" s="1" t="s">
        <v>4057</v>
      </c>
      <c r="H675" s="1" t="s">
        <v>61</v>
      </c>
      <c r="I675" s="1">
        <v>480</v>
      </c>
      <c r="J675" s="1" t="s">
        <v>46</v>
      </c>
      <c r="M675" s="1" t="s">
        <v>169</v>
      </c>
      <c r="N675" s="1" t="s">
        <v>48</v>
      </c>
      <c r="O675" s="9">
        <v>8</v>
      </c>
      <c r="P675" s="1">
        <f>ROUNDUP(1450*(1-$F$3),2)</f>
        <v>1450</v>
      </c>
      <c r="Q675" s="1" t="s">
        <v>49</v>
      </c>
      <c r="R675" s="1" t="s">
        <v>4058</v>
      </c>
      <c r="S675" s="1" t="s">
        <v>4059</v>
      </c>
      <c r="T675" s="9">
        <v>10</v>
      </c>
      <c r="U675" s="1">
        <f>ROUNDUP(1318.18*(1-$F$3),2)</f>
        <v>1318.18</v>
      </c>
      <c r="V675" s="1">
        <v>679</v>
      </c>
      <c r="Y675" s="1" t="s">
        <v>4060</v>
      </c>
      <c r="Z675" s="1" t="s">
        <v>53</v>
      </c>
      <c r="AA675" s="12">
        <v>44666</v>
      </c>
      <c r="AB675" s="1" t="s">
        <v>66</v>
      </c>
      <c r="AC675" s="1" t="s">
        <v>143</v>
      </c>
      <c r="AD675" s="1" t="s">
        <v>847</v>
      </c>
      <c r="AE675" s="1" t="s">
        <v>69</v>
      </c>
      <c r="AG675" s="1">
        <v>10292550</v>
      </c>
    </row>
    <row r="676" spans="3:33" s="1" customFormat="1" x14ac:dyDescent="0.25">
      <c r="C676" s="1" t="s">
        <v>4061</v>
      </c>
      <c r="D676" s="1" t="s">
        <v>4008</v>
      </c>
      <c r="E676" s="1" t="s">
        <v>4062</v>
      </c>
      <c r="F676" s="13" t="s">
        <v>6952</v>
      </c>
      <c r="G676" s="1" t="s">
        <v>1477</v>
      </c>
      <c r="H676" s="1" t="s">
        <v>160</v>
      </c>
      <c r="I676" s="1">
        <v>320</v>
      </c>
      <c r="J676" s="1" t="s">
        <v>46</v>
      </c>
      <c r="M676" s="1" t="s">
        <v>835</v>
      </c>
      <c r="N676" s="1" t="s">
        <v>48</v>
      </c>
      <c r="O676" s="9">
        <v>10</v>
      </c>
      <c r="P676" s="1">
        <f>ROUNDUP(1000*(1-$F$3),2)</f>
        <v>1000</v>
      </c>
      <c r="Q676" s="1" t="s">
        <v>49</v>
      </c>
      <c r="R676" s="1" t="s">
        <v>4063</v>
      </c>
      <c r="S676" s="1" t="s">
        <v>4064</v>
      </c>
      <c r="T676" s="9">
        <v>10</v>
      </c>
      <c r="U676" s="1">
        <f>ROUNDUP(909.09*(1-$F$3),2)</f>
        <v>909.09</v>
      </c>
      <c r="V676" s="1">
        <v>429</v>
      </c>
      <c r="Y676" s="1" t="s">
        <v>4065</v>
      </c>
      <c r="Z676" s="1" t="s">
        <v>53</v>
      </c>
      <c r="AA676" s="12">
        <v>44025</v>
      </c>
      <c r="AB676" s="1" t="s">
        <v>66</v>
      </c>
      <c r="AC676" s="1" t="s">
        <v>143</v>
      </c>
      <c r="AD676" s="1" t="s">
        <v>847</v>
      </c>
      <c r="AE676" s="1" t="s">
        <v>69</v>
      </c>
      <c r="AG676" s="1">
        <v>9447370</v>
      </c>
    </row>
    <row r="677" spans="3:33" s="1" customFormat="1" x14ac:dyDescent="0.25">
      <c r="C677" s="1" t="s">
        <v>4066</v>
      </c>
      <c r="D677" s="1" t="s">
        <v>4008</v>
      </c>
      <c r="E677" s="1" t="s">
        <v>937</v>
      </c>
      <c r="F677" s="13" t="s">
        <v>6952</v>
      </c>
      <c r="G677" s="1" t="s">
        <v>938</v>
      </c>
      <c r="H677" s="1" t="s">
        <v>61</v>
      </c>
      <c r="I677" s="1">
        <v>432</v>
      </c>
      <c r="J677" s="1" t="s">
        <v>46</v>
      </c>
      <c r="M677" s="1" t="s">
        <v>756</v>
      </c>
      <c r="N677" s="1" t="s">
        <v>48</v>
      </c>
      <c r="O677" s="9">
        <v>6</v>
      </c>
      <c r="P677" s="1">
        <f>ROUNDUP(1074.7*(1-$F$3),2)</f>
        <v>1074.7</v>
      </c>
      <c r="Q677" s="1" t="s">
        <v>49</v>
      </c>
      <c r="R677" s="1" t="s">
        <v>4067</v>
      </c>
      <c r="S677" s="1" t="s">
        <v>4068</v>
      </c>
      <c r="T677" s="9">
        <v>10</v>
      </c>
      <c r="U677" s="1">
        <f>ROUNDUP(977*(1-$F$3),2)</f>
        <v>977</v>
      </c>
      <c r="V677" s="1">
        <v>522</v>
      </c>
      <c r="Y677" s="1" t="s">
        <v>941</v>
      </c>
      <c r="Z677" s="1" t="s">
        <v>53</v>
      </c>
      <c r="AA677" s="12">
        <v>44460</v>
      </c>
      <c r="AB677" s="1" t="s">
        <v>66</v>
      </c>
      <c r="AC677" s="1" t="s">
        <v>120</v>
      </c>
      <c r="AD677" s="1" t="s">
        <v>121</v>
      </c>
      <c r="AE677" s="1" t="s">
        <v>69</v>
      </c>
      <c r="AG677" s="1">
        <v>9801170</v>
      </c>
    </row>
    <row r="678" spans="3:33" s="1" customFormat="1" x14ac:dyDescent="0.25">
      <c r="C678" s="1" t="s">
        <v>4069</v>
      </c>
      <c r="D678" s="1" t="s">
        <v>4008</v>
      </c>
      <c r="E678" s="1" t="s">
        <v>4070</v>
      </c>
      <c r="F678" s="13" t="s">
        <v>6952</v>
      </c>
      <c r="G678" s="1" t="s">
        <v>4071</v>
      </c>
      <c r="H678" s="1" t="s">
        <v>160</v>
      </c>
      <c r="I678" s="1">
        <v>352</v>
      </c>
      <c r="J678" s="1" t="s">
        <v>46</v>
      </c>
      <c r="M678" s="1" t="s">
        <v>161</v>
      </c>
      <c r="N678" s="1" t="s">
        <v>48</v>
      </c>
      <c r="O678" s="9">
        <v>10</v>
      </c>
      <c r="P678" s="1">
        <f>ROUNDUP(1200*(1-$F$3),2)</f>
        <v>1200</v>
      </c>
      <c r="Q678" s="1" t="s">
        <v>49</v>
      </c>
      <c r="R678" s="1" t="s">
        <v>4072</v>
      </c>
      <c r="S678" s="1" t="s">
        <v>4073</v>
      </c>
      <c r="T678" s="9">
        <v>22</v>
      </c>
      <c r="U678" s="1">
        <f>ROUNDUP(983.61*(1-$F$3),2)</f>
        <v>983.61</v>
      </c>
      <c r="V678" s="1">
        <v>483</v>
      </c>
      <c r="Y678" s="1" t="s">
        <v>4074</v>
      </c>
      <c r="Z678" s="1" t="s">
        <v>76</v>
      </c>
      <c r="AA678" s="12">
        <v>44955</v>
      </c>
      <c r="AB678" s="1" t="s">
        <v>66</v>
      </c>
      <c r="AC678" s="1" t="s">
        <v>143</v>
      </c>
      <c r="AD678" s="1" t="s">
        <v>144</v>
      </c>
      <c r="AE678" s="1" t="s">
        <v>69</v>
      </c>
      <c r="AG678" s="1">
        <v>10748480</v>
      </c>
    </row>
    <row r="679" spans="3:33" s="1" customFormat="1" x14ac:dyDescent="0.25">
      <c r="C679" s="1" t="s">
        <v>4075</v>
      </c>
      <c r="D679" s="1" t="s">
        <v>4008</v>
      </c>
      <c r="E679" s="1" t="s">
        <v>4076</v>
      </c>
      <c r="F679" s="13" t="s">
        <v>6952</v>
      </c>
      <c r="G679" s="1" t="s">
        <v>4077</v>
      </c>
      <c r="H679" s="1" t="s">
        <v>160</v>
      </c>
      <c r="I679" s="1">
        <v>512</v>
      </c>
      <c r="J679" s="1" t="s">
        <v>46</v>
      </c>
      <c r="M679" s="1" t="s">
        <v>756</v>
      </c>
      <c r="N679" s="1" t="s">
        <v>48</v>
      </c>
      <c r="O679" s="9">
        <v>6</v>
      </c>
      <c r="P679" s="1">
        <f>ROUNDUP(1340*(1-$F$3),2)</f>
        <v>1340</v>
      </c>
      <c r="Q679" s="1" t="s">
        <v>49</v>
      </c>
      <c r="R679" s="1" t="s">
        <v>4078</v>
      </c>
      <c r="S679" s="1" t="s">
        <v>4079</v>
      </c>
      <c r="T679" s="9">
        <v>10</v>
      </c>
      <c r="U679" s="1">
        <f>ROUNDUP(1218.18*(1-$F$3),2)</f>
        <v>1218.18</v>
      </c>
      <c r="V679" s="1">
        <v>617</v>
      </c>
      <c r="Y679" s="1" t="s">
        <v>4080</v>
      </c>
      <c r="Z679" s="1" t="s">
        <v>76</v>
      </c>
      <c r="AA679" s="12">
        <v>44538</v>
      </c>
      <c r="AB679" s="1" t="s">
        <v>66</v>
      </c>
      <c r="AC679" s="1" t="s">
        <v>120</v>
      </c>
      <c r="AD679" s="1" t="s">
        <v>121</v>
      </c>
      <c r="AE679" s="1" t="s">
        <v>69</v>
      </c>
      <c r="AG679" s="1">
        <v>9968560</v>
      </c>
    </row>
    <row r="680" spans="3:33" s="1" customFormat="1" x14ac:dyDescent="0.25">
      <c r="C680" s="1" t="s">
        <v>4081</v>
      </c>
      <c r="D680" s="1" t="s">
        <v>4008</v>
      </c>
      <c r="E680" s="1" t="s">
        <v>4082</v>
      </c>
      <c r="F680" s="13" t="s">
        <v>6952</v>
      </c>
      <c r="G680" s="1" t="s">
        <v>4083</v>
      </c>
      <c r="H680" s="1" t="s">
        <v>160</v>
      </c>
      <c r="I680" s="1">
        <v>304</v>
      </c>
      <c r="J680" s="1" t="s">
        <v>46</v>
      </c>
      <c r="M680" s="1" t="s">
        <v>169</v>
      </c>
      <c r="N680" s="1" t="s">
        <v>48</v>
      </c>
      <c r="O680" s="9">
        <v>10</v>
      </c>
      <c r="P680" s="1">
        <f>ROUNDUP(1020*(1-$F$3),2)</f>
        <v>1020</v>
      </c>
      <c r="Q680" s="1" t="s">
        <v>49</v>
      </c>
      <c r="R680" s="1" t="s">
        <v>4084</v>
      </c>
      <c r="S680" s="1" t="s">
        <v>4085</v>
      </c>
      <c r="T680" s="9">
        <v>22</v>
      </c>
      <c r="U680" s="1">
        <f>ROUNDUP(836.07*(1-$F$3),2)</f>
        <v>836.07</v>
      </c>
      <c r="V680" s="1">
        <v>343</v>
      </c>
      <c r="Y680" s="1" t="s">
        <v>4086</v>
      </c>
      <c r="Z680" s="1" t="s">
        <v>76</v>
      </c>
      <c r="AA680" s="12">
        <v>44573</v>
      </c>
      <c r="AB680" s="1" t="s">
        <v>66</v>
      </c>
      <c r="AC680" s="1" t="s">
        <v>143</v>
      </c>
      <c r="AD680" s="1" t="s">
        <v>144</v>
      </c>
      <c r="AE680" s="1" t="s">
        <v>69</v>
      </c>
      <c r="AG680" s="1">
        <v>10041640</v>
      </c>
    </row>
    <row r="681" spans="3:33" s="1" customFormat="1" x14ac:dyDescent="0.25">
      <c r="C681" s="1" t="s">
        <v>4087</v>
      </c>
      <c r="D681" s="1" t="s">
        <v>4008</v>
      </c>
      <c r="E681" s="1" t="s">
        <v>4088</v>
      </c>
      <c r="F681" s="13" t="s">
        <v>6952</v>
      </c>
      <c r="G681" s="1" t="s">
        <v>1118</v>
      </c>
      <c r="H681" s="1" t="s">
        <v>160</v>
      </c>
      <c r="I681" s="1">
        <v>352</v>
      </c>
      <c r="J681" s="1" t="s">
        <v>46</v>
      </c>
      <c r="M681" s="1" t="s">
        <v>835</v>
      </c>
      <c r="N681" s="1" t="s">
        <v>48</v>
      </c>
      <c r="O681" s="9">
        <v>10</v>
      </c>
      <c r="P681" s="1">
        <f>ROUNDUP(1100*(1-$F$3),2)</f>
        <v>1100</v>
      </c>
      <c r="Q681" s="1" t="s">
        <v>49</v>
      </c>
      <c r="R681" s="1" t="s">
        <v>4089</v>
      </c>
      <c r="S681" s="1" t="s">
        <v>4090</v>
      </c>
      <c r="T681" s="9">
        <v>10</v>
      </c>
      <c r="U681" s="1">
        <f>ROUNDUP(1000*(1-$F$3),2)</f>
        <v>1000</v>
      </c>
      <c r="V681" s="1">
        <v>386</v>
      </c>
      <c r="Y681" s="1" t="s">
        <v>4091</v>
      </c>
      <c r="Z681" s="1" t="s">
        <v>53</v>
      </c>
      <c r="AA681" s="12">
        <v>43990</v>
      </c>
      <c r="AB681" s="1" t="s">
        <v>66</v>
      </c>
      <c r="AC681" s="1" t="s">
        <v>67</v>
      </c>
      <c r="AD681" s="1" t="s">
        <v>165</v>
      </c>
      <c r="AE681" s="1" t="s">
        <v>69</v>
      </c>
      <c r="AG681" s="1">
        <v>9400490</v>
      </c>
    </row>
    <row r="682" spans="3:33" s="1" customFormat="1" x14ac:dyDescent="0.25">
      <c r="C682" s="1" t="s">
        <v>4092</v>
      </c>
      <c r="D682" s="1" t="s">
        <v>4008</v>
      </c>
      <c r="E682" s="1" t="s">
        <v>4093</v>
      </c>
      <c r="F682" s="13" t="s">
        <v>6952</v>
      </c>
      <c r="G682" s="1" t="s">
        <v>4094</v>
      </c>
      <c r="H682" s="1" t="s">
        <v>61</v>
      </c>
      <c r="I682" s="1">
        <v>304</v>
      </c>
      <c r="J682" s="1" t="s">
        <v>46</v>
      </c>
      <c r="M682" s="1" t="s">
        <v>161</v>
      </c>
      <c r="N682" s="1" t="s">
        <v>48</v>
      </c>
      <c r="O682" s="9">
        <v>12</v>
      </c>
      <c r="P682" s="1">
        <f>ROUNDUP(1300*(1-$F$3),2)</f>
        <v>1300</v>
      </c>
      <c r="Q682" s="1" t="s">
        <v>49</v>
      </c>
      <c r="R682" s="1" t="s">
        <v>4095</v>
      </c>
      <c r="S682" s="1" t="s">
        <v>4096</v>
      </c>
      <c r="T682" s="9">
        <v>10</v>
      </c>
      <c r="U682" s="1">
        <f>ROUNDUP(1181.82*(1-$F$3),2)</f>
        <v>1181.82</v>
      </c>
      <c r="V682" s="1">
        <v>459</v>
      </c>
      <c r="Y682" s="1" t="s">
        <v>4097</v>
      </c>
      <c r="Z682" s="1" t="s">
        <v>53</v>
      </c>
      <c r="AA682" s="12">
        <v>44982</v>
      </c>
      <c r="AB682" s="1" t="s">
        <v>66</v>
      </c>
      <c r="AC682" s="1" t="s">
        <v>683</v>
      </c>
      <c r="AD682" s="1" t="s">
        <v>3128</v>
      </c>
      <c r="AE682" s="1" t="s">
        <v>69</v>
      </c>
      <c r="AG682" s="1">
        <v>10809050</v>
      </c>
    </row>
    <row r="683" spans="3:33" s="1" customFormat="1" x14ac:dyDescent="0.25">
      <c r="C683" s="1" t="s">
        <v>4098</v>
      </c>
      <c r="D683" s="1" t="s">
        <v>4008</v>
      </c>
      <c r="E683" s="1" t="s">
        <v>4099</v>
      </c>
      <c r="F683" s="13" t="s">
        <v>6952</v>
      </c>
      <c r="G683" s="1" t="s">
        <v>4100</v>
      </c>
      <c r="H683" s="1" t="s">
        <v>160</v>
      </c>
      <c r="I683" s="1">
        <v>352</v>
      </c>
      <c r="J683" s="1" t="s">
        <v>46</v>
      </c>
      <c r="M683" s="1" t="s">
        <v>835</v>
      </c>
      <c r="N683" s="1" t="s">
        <v>48</v>
      </c>
      <c r="O683" s="9">
        <v>12</v>
      </c>
      <c r="P683" s="1">
        <f>ROUNDUP(1100*(1-$F$3),2)</f>
        <v>1100</v>
      </c>
      <c r="Q683" s="1" t="s">
        <v>49</v>
      </c>
      <c r="R683" s="1" t="s">
        <v>4101</v>
      </c>
      <c r="S683" s="1" t="s">
        <v>4102</v>
      </c>
      <c r="T683" s="9">
        <v>10</v>
      </c>
      <c r="U683" s="1">
        <f>ROUNDUP(1000*(1-$F$3),2)</f>
        <v>1000</v>
      </c>
      <c r="V683" s="1">
        <v>386</v>
      </c>
      <c r="Y683" s="1" t="s">
        <v>4103</v>
      </c>
      <c r="Z683" s="1" t="s">
        <v>76</v>
      </c>
      <c r="AA683" s="12">
        <v>44144</v>
      </c>
      <c r="AB683" s="1" t="s">
        <v>66</v>
      </c>
      <c r="AC683" s="1" t="s">
        <v>143</v>
      </c>
      <c r="AD683" s="1" t="s">
        <v>4104</v>
      </c>
      <c r="AE683" s="1" t="s">
        <v>69</v>
      </c>
      <c r="AG683" s="1">
        <v>9531520</v>
      </c>
    </row>
    <row r="684" spans="3:33" s="1" customFormat="1" x14ac:dyDescent="0.25">
      <c r="C684" s="1" t="s">
        <v>4105</v>
      </c>
      <c r="D684" s="1" t="s">
        <v>4008</v>
      </c>
      <c r="E684" s="1" t="s">
        <v>4106</v>
      </c>
      <c r="F684" s="13" t="s">
        <v>6952</v>
      </c>
      <c r="G684" s="1" t="s">
        <v>4107</v>
      </c>
      <c r="H684" s="1" t="s">
        <v>61</v>
      </c>
      <c r="I684" s="1">
        <v>432</v>
      </c>
      <c r="J684" s="1" t="s">
        <v>46</v>
      </c>
      <c r="M684" s="1" t="s">
        <v>47</v>
      </c>
      <c r="N684" s="1" t="s">
        <v>48</v>
      </c>
      <c r="O684" s="9">
        <v>5</v>
      </c>
      <c r="P684" s="1">
        <f>ROUNDUP(1670*(1-$F$3),2)</f>
        <v>1670</v>
      </c>
      <c r="Q684" s="1" t="s">
        <v>49</v>
      </c>
      <c r="R684" s="1" t="s">
        <v>4108</v>
      </c>
      <c r="S684" s="1" t="s">
        <v>4109</v>
      </c>
      <c r="T684" s="9">
        <v>10</v>
      </c>
      <c r="U684" s="1">
        <f>ROUNDUP(1518.18*(1-$F$3),2)</f>
        <v>1518.18</v>
      </c>
      <c r="V684" s="1">
        <v>547</v>
      </c>
      <c r="Y684" s="1" t="s">
        <v>4110</v>
      </c>
      <c r="Z684" s="1" t="s">
        <v>53</v>
      </c>
      <c r="AA684" s="12">
        <v>45079</v>
      </c>
      <c r="AB684" s="1" t="s">
        <v>66</v>
      </c>
      <c r="AC684" s="1" t="s">
        <v>77</v>
      </c>
      <c r="AD684" s="1" t="s">
        <v>78</v>
      </c>
      <c r="AE684" s="1" t="s">
        <v>69</v>
      </c>
      <c r="AG684" s="1">
        <v>10941500</v>
      </c>
    </row>
    <row r="685" spans="3:33" s="1" customFormat="1" x14ac:dyDescent="0.25">
      <c r="C685" s="1" t="s">
        <v>4111</v>
      </c>
      <c r="D685" s="1" t="s">
        <v>4008</v>
      </c>
      <c r="E685" s="1" t="s">
        <v>4112</v>
      </c>
      <c r="F685" s="13" t="s">
        <v>6952</v>
      </c>
      <c r="G685" s="1" t="s">
        <v>1069</v>
      </c>
      <c r="H685" s="1" t="s">
        <v>61</v>
      </c>
      <c r="I685" s="1">
        <v>560</v>
      </c>
      <c r="J685" s="1" t="s">
        <v>46</v>
      </c>
      <c r="M685" s="1" t="s">
        <v>47</v>
      </c>
      <c r="N685" s="1" t="s">
        <v>48</v>
      </c>
      <c r="O685" s="9">
        <v>6</v>
      </c>
      <c r="P685" s="1">
        <f>ROUNDUP(1140*(1-$F$3),2)</f>
        <v>1140</v>
      </c>
      <c r="Q685" s="1" t="s">
        <v>49</v>
      </c>
      <c r="R685" s="1" t="s">
        <v>4113</v>
      </c>
      <c r="S685" s="1" t="s">
        <v>4114</v>
      </c>
      <c r="T685" s="9">
        <v>10</v>
      </c>
      <c r="U685" s="1">
        <f>ROUNDUP(1036.36*(1-$F$3),2)</f>
        <v>1036.3599999999999</v>
      </c>
      <c r="V685" s="1">
        <v>581</v>
      </c>
      <c r="Y685" s="1" t="s">
        <v>4115</v>
      </c>
      <c r="Z685" s="1" t="s">
        <v>53</v>
      </c>
      <c r="AA685" s="12">
        <v>45495</v>
      </c>
      <c r="AB685" s="1" t="s">
        <v>66</v>
      </c>
      <c r="AC685" s="1" t="s">
        <v>143</v>
      </c>
      <c r="AD685" s="1" t="s">
        <v>847</v>
      </c>
      <c r="AE685" s="1" t="s">
        <v>69</v>
      </c>
      <c r="AG685" s="1">
        <v>11374570</v>
      </c>
    </row>
    <row r="686" spans="3:33" s="1" customFormat="1" x14ac:dyDescent="0.25">
      <c r="C686" s="1" t="s">
        <v>4116</v>
      </c>
      <c r="D686" s="1" t="s">
        <v>4008</v>
      </c>
      <c r="E686" s="1" t="s">
        <v>4117</v>
      </c>
      <c r="F686" s="13" t="s">
        <v>6952</v>
      </c>
      <c r="G686" s="1" t="s">
        <v>1823</v>
      </c>
      <c r="H686" s="1" t="s">
        <v>160</v>
      </c>
      <c r="I686" s="1">
        <v>240</v>
      </c>
      <c r="J686" s="1" t="s">
        <v>46</v>
      </c>
      <c r="M686" s="1" t="s">
        <v>835</v>
      </c>
      <c r="N686" s="1" t="s">
        <v>48</v>
      </c>
      <c r="O686" s="9">
        <v>16</v>
      </c>
      <c r="P686" s="1">
        <f>ROUNDUP(810*(1-$F$3),2)</f>
        <v>810</v>
      </c>
      <c r="Q686" s="1" t="s">
        <v>49</v>
      </c>
      <c r="R686" s="1" t="s">
        <v>4118</v>
      </c>
      <c r="S686" s="1" t="s">
        <v>4119</v>
      </c>
      <c r="T686" s="9">
        <v>10</v>
      </c>
      <c r="U686" s="1">
        <f>ROUNDUP(736.36*(1-$F$3),2)</f>
        <v>736.36</v>
      </c>
      <c r="V686" s="1">
        <v>279</v>
      </c>
      <c r="Y686" s="1" t="s">
        <v>4120</v>
      </c>
      <c r="Z686" s="1" t="s">
        <v>53</v>
      </c>
      <c r="AA686" s="12">
        <v>43941</v>
      </c>
      <c r="AB686" s="1" t="s">
        <v>66</v>
      </c>
      <c r="AC686" s="1" t="s">
        <v>143</v>
      </c>
      <c r="AD686" s="1" t="s">
        <v>144</v>
      </c>
      <c r="AE686" s="1" t="s">
        <v>69</v>
      </c>
      <c r="AG686" s="1">
        <v>9350700</v>
      </c>
    </row>
    <row r="687" spans="3:33" s="1" customFormat="1" x14ac:dyDescent="0.25">
      <c r="C687" s="1" t="s">
        <v>4121</v>
      </c>
      <c r="D687" s="1" t="s">
        <v>4008</v>
      </c>
      <c r="E687" s="1" t="s">
        <v>4122</v>
      </c>
      <c r="F687" s="13" t="s">
        <v>6952</v>
      </c>
      <c r="G687" s="1" t="s">
        <v>4123</v>
      </c>
      <c r="H687" s="1" t="s">
        <v>160</v>
      </c>
      <c r="I687" s="1">
        <v>591</v>
      </c>
      <c r="J687" s="1" t="s">
        <v>46</v>
      </c>
      <c r="K687" s="1" t="s">
        <v>1566</v>
      </c>
      <c r="M687" s="1" t="s">
        <v>1061</v>
      </c>
      <c r="N687" s="1" t="s">
        <v>48</v>
      </c>
      <c r="O687" s="9">
        <v>6</v>
      </c>
      <c r="P687" s="1">
        <f>ROUNDUP(1222.1*(1-$F$3),2)</f>
        <v>1222.0999999999999</v>
      </c>
      <c r="Q687" s="1" t="s">
        <v>49</v>
      </c>
      <c r="R687" s="1" t="s">
        <v>4124</v>
      </c>
      <c r="S687" s="1" t="s">
        <v>4125</v>
      </c>
      <c r="T687" s="9">
        <v>10</v>
      </c>
      <c r="U687" s="1">
        <f>ROUNDUP(1111*(1-$F$3),2)</f>
        <v>1111</v>
      </c>
      <c r="V687" s="1">
        <v>603</v>
      </c>
      <c r="Y687" s="1" t="s">
        <v>4126</v>
      </c>
      <c r="Z687" s="1" t="s">
        <v>53</v>
      </c>
      <c r="AA687" s="12">
        <v>43635</v>
      </c>
      <c r="AB687" s="1" t="s">
        <v>66</v>
      </c>
      <c r="AC687" s="1" t="s">
        <v>143</v>
      </c>
      <c r="AD687" s="1" t="s">
        <v>144</v>
      </c>
      <c r="AE687" s="1" t="s">
        <v>69</v>
      </c>
      <c r="AG687" s="1">
        <v>9078560</v>
      </c>
    </row>
    <row r="688" spans="3:33" s="1" customFormat="1" x14ac:dyDescent="0.25">
      <c r="C688" s="1" t="s">
        <v>4127</v>
      </c>
      <c r="D688" s="1" t="s">
        <v>4008</v>
      </c>
      <c r="E688" s="1" t="s">
        <v>4128</v>
      </c>
      <c r="F688" s="13" t="s">
        <v>6952</v>
      </c>
      <c r="G688" s="1" t="s">
        <v>4129</v>
      </c>
      <c r="H688" s="1" t="s">
        <v>160</v>
      </c>
      <c r="I688" s="1">
        <v>352</v>
      </c>
      <c r="J688" s="1" t="s">
        <v>46</v>
      </c>
      <c r="M688" s="1" t="s">
        <v>756</v>
      </c>
      <c r="N688" s="1" t="s">
        <v>48</v>
      </c>
      <c r="O688" s="9">
        <v>12</v>
      </c>
      <c r="P688" s="1">
        <f>ROUNDUP(1160*(1-$F$3),2)</f>
        <v>1160</v>
      </c>
      <c r="Q688" s="1" t="s">
        <v>49</v>
      </c>
      <c r="R688" s="1" t="s">
        <v>4130</v>
      </c>
      <c r="S688" s="1" t="s">
        <v>4131</v>
      </c>
      <c r="T688" s="9">
        <v>10</v>
      </c>
      <c r="U688" s="1">
        <f>ROUNDUP(1054.55*(1-$F$3),2)</f>
        <v>1054.55</v>
      </c>
      <c r="V688" s="1">
        <v>389</v>
      </c>
      <c r="Y688" s="1" t="s">
        <v>4132</v>
      </c>
      <c r="Z688" s="1" t="s">
        <v>53</v>
      </c>
      <c r="AA688" s="12">
        <v>44293</v>
      </c>
      <c r="AB688" s="1" t="s">
        <v>66</v>
      </c>
      <c r="AC688" s="1" t="s">
        <v>143</v>
      </c>
      <c r="AD688" s="1" t="s">
        <v>144</v>
      </c>
      <c r="AE688" s="1" t="s">
        <v>69</v>
      </c>
      <c r="AG688" s="1">
        <v>9667010</v>
      </c>
    </row>
    <row r="689" spans="3:33" s="1" customFormat="1" x14ac:dyDescent="0.25">
      <c r="C689" s="1" t="s">
        <v>4133</v>
      </c>
      <c r="D689" s="1" t="s">
        <v>4008</v>
      </c>
      <c r="E689" s="1" t="s">
        <v>1631</v>
      </c>
      <c r="F689" s="13" t="s">
        <v>6952</v>
      </c>
      <c r="G689" s="1" t="s">
        <v>950</v>
      </c>
      <c r="H689" s="1" t="s">
        <v>61</v>
      </c>
      <c r="I689" s="1">
        <v>512</v>
      </c>
      <c r="J689" s="1" t="s">
        <v>46</v>
      </c>
      <c r="M689" s="1" t="s">
        <v>169</v>
      </c>
      <c r="N689" s="1" t="s">
        <v>48</v>
      </c>
      <c r="O689" s="9">
        <v>6</v>
      </c>
      <c r="P689" s="1">
        <f>ROUNDUP(1340*(1-$F$3),2)</f>
        <v>1340</v>
      </c>
      <c r="Q689" s="1" t="s">
        <v>49</v>
      </c>
      <c r="R689" s="1" t="s">
        <v>4134</v>
      </c>
      <c r="S689" s="1" t="s">
        <v>4135</v>
      </c>
      <c r="T689" s="9">
        <v>10</v>
      </c>
      <c r="U689" s="1">
        <f>ROUNDUP(1218.18*(1-$F$3),2)</f>
        <v>1218.18</v>
      </c>
      <c r="V689" s="1">
        <v>596</v>
      </c>
      <c r="Y689" s="1" t="s">
        <v>953</v>
      </c>
      <c r="Z689" s="1" t="s">
        <v>76</v>
      </c>
      <c r="AA689" s="12">
        <v>44261</v>
      </c>
      <c r="AB689" s="1" t="s">
        <v>66</v>
      </c>
      <c r="AC689" s="1" t="s">
        <v>143</v>
      </c>
      <c r="AD689" s="1" t="s">
        <v>847</v>
      </c>
      <c r="AE689" s="1" t="s">
        <v>69</v>
      </c>
      <c r="AG689" s="1">
        <v>9646120</v>
      </c>
    </row>
    <row r="690" spans="3:33" s="1" customFormat="1" x14ac:dyDescent="0.25">
      <c r="C690" s="1" t="s">
        <v>4136</v>
      </c>
      <c r="D690" s="1" t="s">
        <v>4008</v>
      </c>
      <c r="E690" s="1" t="s">
        <v>955</v>
      </c>
      <c r="F690" s="13" t="s">
        <v>6952</v>
      </c>
      <c r="G690" s="1" t="s">
        <v>938</v>
      </c>
      <c r="H690" s="1" t="s">
        <v>61</v>
      </c>
      <c r="I690" s="1">
        <v>336</v>
      </c>
      <c r="J690" s="1" t="s">
        <v>46</v>
      </c>
      <c r="M690" s="1" t="s">
        <v>756</v>
      </c>
      <c r="N690" s="1" t="s">
        <v>48</v>
      </c>
      <c r="O690" s="9">
        <v>12</v>
      </c>
      <c r="P690" s="1">
        <f>ROUNDUP(1010*(1-$F$3),2)</f>
        <v>1010</v>
      </c>
      <c r="Q690" s="1" t="s">
        <v>49</v>
      </c>
      <c r="R690" s="1" t="s">
        <v>4137</v>
      </c>
      <c r="S690" s="1" t="s">
        <v>4138</v>
      </c>
      <c r="T690" s="9">
        <v>10</v>
      </c>
      <c r="U690" s="1">
        <f>ROUNDUP(918.18*(1-$F$3),2)</f>
        <v>918.18</v>
      </c>
      <c r="V690" s="1">
        <v>471</v>
      </c>
      <c r="Y690" s="1" t="s">
        <v>958</v>
      </c>
      <c r="Z690" s="1" t="s">
        <v>76</v>
      </c>
      <c r="AA690" s="12">
        <v>44364</v>
      </c>
      <c r="AB690" s="1" t="s">
        <v>66</v>
      </c>
      <c r="AC690" s="1" t="s">
        <v>120</v>
      </c>
      <c r="AD690" s="1" t="s">
        <v>121</v>
      </c>
      <c r="AE690" s="1" t="s">
        <v>69</v>
      </c>
      <c r="AG690" s="1">
        <v>9670410</v>
      </c>
    </row>
    <row r="691" spans="3:33" s="1" customFormat="1" x14ac:dyDescent="0.25">
      <c r="C691" s="1" t="s">
        <v>4139</v>
      </c>
      <c r="D691" s="1" t="s">
        <v>4008</v>
      </c>
      <c r="E691" s="1" t="s">
        <v>4140</v>
      </c>
      <c r="F691" s="13" t="s">
        <v>6952</v>
      </c>
      <c r="G691" s="1" t="s">
        <v>694</v>
      </c>
      <c r="H691" s="1" t="s">
        <v>637</v>
      </c>
      <c r="I691" s="1">
        <v>720</v>
      </c>
      <c r="J691" s="1" t="s">
        <v>46</v>
      </c>
      <c r="M691" s="1" t="s">
        <v>62</v>
      </c>
      <c r="N691" s="1" t="s">
        <v>48</v>
      </c>
      <c r="O691" s="9">
        <v>6</v>
      </c>
      <c r="P691" s="1">
        <f>ROUNDUP(1670*(1-$F$3),2)</f>
        <v>1670</v>
      </c>
      <c r="Q691" s="1" t="s">
        <v>49</v>
      </c>
      <c r="R691" s="1" t="s">
        <v>4141</v>
      </c>
      <c r="S691" s="1" t="s">
        <v>4142</v>
      </c>
      <c r="T691" s="9">
        <v>10</v>
      </c>
      <c r="U691" s="1">
        <f>ROUNDUP(1518.18*(1-$F$3),2)</f>
        <v>1518.18</v>
      </c>
      <c r="V691" s="1">
        <v>959</v>
      </c>
      <c r="Y691" s="1" t="s">
        <v>4143</v>
      </c>
      <c r="Z691" s="1" t="s">
        <v>76</v>
      </c>
      <c r="AA691" s="12">
        <v>44728</v>
      </c>
      <c r="AB691" s="1" t="s">
        <v>66</v>
      </c>
      <c r="AC691" s="1" t="s">
        <v>67</v>
      </c>
      <c r="AD691" s="1" t="s">
        <v>165</v>
      </c>
      <c r="AE691" s="1" t="s">
        <v>69</v>
      </c>
      <c r="AG691" s="1">
        <v>10371210</v>
      </c>
    </row>
    <row r="692" spans="3:33" s="1" customFormat="1" x14ac:dyDescent="0.25">
      <c r="C692" s="1" t="s">
        <v>4144</v>
      </c>
      <c r="D692" s="1" t="s">
        <v>4008</v>
      </c>
      <c r="E692" s="1" t="s">
        <v>4145</v>
      </c>
      <c r="F692" s="13" t="s">
        <v>6952</v>
      </c>
      <c r="G692" s="1" t="s">
        <v>4146</v>
      </c>
      <c r="H692" s="1" t="s">
        <v>61</v>
      </c>
      <c r="I692" s="1">
        <v>336</v>
      </c>
      <c r="J692" s="1" t="s">
        <v>46</v>
      </c>
      <c r="M692" s="1" t="s">
        <v>756</v>
      </c>
      <c r="N692" s="1" t="s">
        <v>48</v>
      </c>
      <c r="O692" s="9">
        <v>10</v>
      </c>
      <c r="P692" s="1">
        <f>ROUNDUP(1240*(1-$F$3),2)</f>
        <v>1240</v>
      </c>
      <c r="Q692" s="1" t="s">
        <v>49</v>
      </c>
      <c r="R692" s="1" t="s">
        <v>4147</v>
      </c>
      <c r="S692" s="1" t="s">
        <v>4148</v>
      </c>
      <c r="T692" s="9">
        <v>10</v>
      </c>
      <c r="U692" s="1">
        <f>ROUNDUP(1127.27*(1-$F$3),2)</f>
        <v>1127.27</v>
      </c>
      <c r="V692" s="1">
        <v>355</v>
      </c>
      <c r="Y692" s="1" t="s">
        <v>4149</v>
      </c>
      <c r="Z692" s="1" t="s">
        <v>53</v>
      </c>
      <c r="AA692" s="12">
        <v>44444</v>
      </c>
      <c r="AB692" s="1" t="s">
        <v>66</v>
      </c>
      <c r="AC692" s="1" t="s">
        <v>120</v>
      </c>
      <c r="AD692" s="1" t="s">
        <v>343</v>
      </c>
      <c r="AE692" s="1" t="s">
        <v>69</v>
      </c>
      <c r="AG692" s="1">
        <v>9768950</v>
      </c>
    </row>
    <row r="693" spans="3:33" s="1" customFormat="1" x14ac:dyDescent="0.25">
      <c r="C693" s="1" t="s">
        <v>4150</v>
      </c>
      <c r="D693" s="1" t="s">
        <v>4008</v>
      </c>
      <c r="E693" s="1" t="s">
        <v>4151</v>
      </c>
      <c r="F693" s="13" t="s">
        <v>6952</v>
      </c>
      <c r="G693" s="1" t="s">
        <v>1513</v>
      </c>
      <c r="H693" s="1" t="s">
        <v>160</v>
      </c>
      <c r="I693" s="1">
        <v>464</v>
      </c>
      <c r="J693" s="1" t="s">
        <v>46</v>
      </c>
      <c r="M693" s="1" t="s">
        <v>835</v>
      </c>
      <c r="N693" s="1" t="s">
        <v>48</v>
      </c>
      <c r="O693" s="9">
        <v>8</v>
      </c>
      <c r="P693" s="1">
        <f>ROUNDUP(1160*(1-$F$3),2)</f>
        <v>1160</v>
      </c>
      <c r="Q693" s="1" t="s">
        <v>49</v>
      </c>
      <c r="R693" s="1" t="s">
        <v>4152</v>
      </c>
      <c r="S693" s="1" t="s">
        <v>4153</v>
      </c>
      <c r="T693" s="9">
        <v>10</v>
      </c>
      <c r="U693" s="1">
        <f>ROUNDUP(1054.55*(1-$F$3),2)</f>
        <v>1054.55</v>
      </c>
      <c r="V693" s="1">
        <v>449</v>
      </c>
      <c r="Y693" s="1" t="s">
        <v>4154</v>
      </c>
      <c r="Z693" s="1" t="s">
        <v>53</v>
      </c>
      <c r="AA693" s="12">
        <v>43928</v>
      </c>
      <c r="AB693" s="1" t="s">
        <v>66</v>
      </c>
      <c r="AC693" s="1" t="s">
        <v>143</v>
      </c>
      <c r="AD693" s="1" t="s">
        <v>144</v>
      </c>
      <c r="AE693" s="1" t="s">
        <v>69</v>
      </c>
      <c r="AG693" s="1">
        <v>9349280</v>
      </c>
    </row>
    <row r="694" spans="3:33" s="1" customFormat="1" x14ac:dyDescent="0.25">
      <c r="C694" s="1" t="s">
        <v>4155</v>
      </c>
      <c r="D694" s="1" t="s">
        <v>4008</v>
      </c>
      <c r="E694" s="1" t="s">
        <v>4156</v>
      </c>
      <c r="F694" s="13" t="s">
        <v>6952</v>
      </c>
      <c r="G694" s="1" t="s">
        <v>4157</v>
      </c>
      <c r="H694" s="1" t="s">
        <v>61</v>
      </c>
      <c r="I694" s="1">
        <v>352</v>
      </c>
      <c r="J694" s="1" t="s">
        <v>46</v>
      </c>
      <c r="M694" s="1" t="s">
        <v>176</v>
      </c>
      <c r="N694" s="1" t="s">
        <v>48</v>
      </c>
      <c r="O694" s="9">
        <v>8</v>
      </c>
      <c r="P694" s="1">
        <f>ROUNDUP(1150*(1-$F$3),2)</f>
        <v>1150</v>
      </c>
      <c r="Q694" s="1" t="s">
        <v>49</v>
      </c>
      <c r="R694" s="1" t="s">
        <v>4158</v>
      </c>
      <c r="S694" s="1" t="s">
        <v>4159</v>
      </c>
      <c r="T694" s="9">
        <v>10</v>
      </c>
      <c r="U694" s="1">
        <f>ROUNDUP(1045.45*(1-$F$3),2)</f>
        <v>1045.45</v>
      </c>
      <c r="V694" s="1">
        <v>416</v>
      </c>
      <c r="Y694" s="1" t="s">
        <v>4160</v>
      </c>
      <c r="Z694" s="1" t="s">
        <v>53</v>
      </c>
      <c r="AA694" s="12">
        <v>45217</v>
      </c>
      <c r="AB694" s="1" t="s">
        <v>66</v>
      </c>
      <c r="AC694" s="1" t="s">
        <v>491</v>
      </c>
      <c r="AD694" s="1" t="s">
        <v>492</v>
      </c>
      <c r="AE694" s="1" t="s">
        <v>69</v>
      </c>
      <c r="AG694" s="1">
        <v>11107810</v>
      </c>
    </row>
    <row r="695" spans="3:33" s="1" customFormat="1" x14ac:dyDescent="0.25">
      <c r="C695" s="1" t="s">
        <v>4161</v>
      </c>
      <c r="D695" s="1" t="s">
        <v>4008</v>
      </c>
      <c r="E695" s="1" t="s">
        <v>4162</v>
      </c>
      <c r="F695" s="13" t="s">
        <v>6952</v>
      </c>
      <c r="G695" s="1" t="s">
        <v>4163</v>
      </c>
      <c r="H695" s="1" t="s">
        <v>160</v>
      </c>
      <c r="I695" s="1">
        <v>400</v>
      </c>
      <c r="J695" s="1" t="s">
        <v>46</v>
      </c>
      <c r="M695" s="1" t="s">
        <v>756</v>
      </c>
      <c r="N695" s="1" t="s">
        <v>48</v>
      </c>
      <c r="O695" s="9">
        <v>10</v>
      </c>
      <c r="P695" s="1">
        <f>ROUNDUP(1160*(1-$F$3),2)</f>
        <v>1160</v>
      </c>
      <c r="Q695" s="1" t="s">
        <v>49</v>
      </c>
      <c r="R695" s="1" t="s">
        <v>4164</v>
      </c>
      <c r="S695" s="1" t="s">
        <v>4165</v>
      </c>
      <c r="T695" s="9">
        <v>10</v>
      </c>
      <c r="U695" s="1">
        <f>ROUNDUP(1054.55*(1-$F$3),2)</f>
        <v>1054.55</v>
      </c>
      <c r="V695" s="1">
        <v>441</v>
      </c>
      <c r="Y695" s="1" t="s">
        <v>4166</v>
      </c>
      <c r="Z695" s="1" t="s">
        <v>53</v>
      </c>
      <c r="AA695" s="12">
        <v>43881</v>
      </c>
      <c r="AB695" s="1" t="s">
        <v>66</v>
      </c>
      <c r="AC695" s="1" t="s">
        <v>143</v>
      </c>
      <c r="AD695" s="1" t="s">
        <v>847</v>
      </c>
      <c r="AE695" s="1" t="s">
        <v>69</v>
      </c>
      <c r="AG695" s="1">
        <v>9286740</v>
      </c>
    </row>
    <row r="696" spans="3:33" s="1" customFormat="1" x14ac:dyDescent="0.25">
      <c r="C696" s="1" t="s">
        <v>4167</v>
      </c>
      <c r="D696" s="1" t="s">
        <v>4008</v>
      </c>
      <c r="E696" s="1" t="s">
        <v>4168</v>
      </c>
      <c r="F696" s="13" t="s">
        <v>6952</v>
      </c>
      <c r="G696" s="1" t="s">
        <v>4169</v>
      </c>
      <c r="H696" s="1" t="s">
        <v>61</v>
      </c>
      <c r="I696" s="1">
        <v>352</v>
      </c>
      <c r="J696" s="1" t="s">
        <v>46</v>
      </c>
      <c r="M696" s="1" t="s">
        <v>169</v>
      </c>
      <c r="N696" s="1" t="s">
        <v>139</v>
      </c>
      <c r="O696" s="9">
        <v>8</v>
      </c>
      <c r="P696" s="1">
        <f>ROUNDUP(950*(1-$F$3),2)</f>
        <v>950</v>
      </c>
      <c r="Q696" s="1" t="s">
        <v>49</v>
      </c>
      <c r="R696" s="1" t="s">
        <v>4170</v>
      </c>
      <c r="S696" s="1" t="s">
        <v>4171</v>
      </c>
      <c r="T696" s="9">
        <v>10</v>
      </c>
      <c r="U696" s="1">
        <f>ROUNDUP(863.64*(1-$F$3),2)</f>
        <v>863.64</v>
      </c>
      <c r="V696" s="1">
        <v>293</v>
      </c>
      <c r="Y696" s="1" t="s">
        <v>4172</v>
      </c>
      <c r="Z696" s="1" t="s">
        <v>53</v>
      </c>
      <c r="AA696" s="12">
        <v>44701</v>
      </c>
      <c r="AB696" s="1" t="s">
        <v>66</v>
      </c>
      <c r="AC696" s="1" t="s">
        <v>143</v>
      </c>
      <c r="AD696" s="1" t="s">
        <v>144</v>
      </c>
      <c r="AE696" s="1" t="s">
        <v>878</v>
      </c>
      <c r="AG696" s="1">
        <v>10409580</v>
      </c>
    </row>
    <row r="697" spans="3:33" s="1" customFormat="1" x14ac:dyDescent="0.25">
      <c r="C697" s="1" t="s">
        <v>4173</v>
      </c>
      <c r="D697" s="1" t="s">
        <v>4008</v>
      </c>
      <c r="E697" s="1" t="s">
        <v>4174</v>
      </c>
      <c r="F697" s="13" t="s">
        <v>6952</v>
      </c>
      <c r="G697" s="1" t="s">
        <v>4175</v>
      </c>
      <c r="H697" s="1" t="s">
        <v>160</v>
      </c>
      <c r="I697" s="1">
        <v>368</v>
      </c>
      <c r="J697" s="1" t="s">
        <v>46</v>
      </c>
      <c r="M697" s="1" t="s">
        <v>756</v>
      </c>
      <c r="N697" s="1" t="s">
        <v>48</v>
      </c>
      <c r="O697" s="9">
        <v>10</v>
      </c>
      <c r="P697" s="1">
        <f>ROUNDUP(1240*(1-$F$3),2)</f>
        <v>1240</v>
      </c>
      <c r="Q697" s="1" t="s">
        <v>49</v>
      </c>
      <c r="R697" s="1" t="s">
        <v>4176</v>
      </c>
      <c r="S697" s="1" t="s">
        <v>4177</v>
      </c>
      <c r="T697" s="9">
        <v>10</v>
      </c>
      <c r="U697" s="1">
        <f>ROUNDUP(1127.27*(1-$F$3),2)</f>
        <v>1127.27</v>
      </c>
      <c r="V697" s="1">
        <v>384</v>
      </c>
      <c r="Y697" s="1" t="s">
        <v>4178</v>
      </c>
      <c r="Z697" s="1" t="s">
        <v>53</v>
      </c>
      <c r="AA697" s="12">
        <v>44467</v>
      </c>
      <c r="AB697" s="1" t="s">
        <v>66</v>
      </c>
      <c r="AC697" s="1" t="s">
        <v>120</v>
      </c>
      <c r="AD697" s="1" t="s">
        <v>121</v>
      </c>
      <c r="AE697" s="1" t="s">
        <v>69</v>
      </c>
      <c r="AG697" s="1">
        <v>9806910</v>
      </c>
    </row>
    <row r="698" spans="3:33" s="1" customFormat="1" x14ac:dyDescent="0.25">
      <c r="C698" s="1" t="s">
        <v>4179</v>
      </c>
      <c r="D698" s="1" t="s">
        <v>4008</v>
      </c>
      <c r="E698" s="1" t="s">
        <v>4180</v>
      </c>
      <c r="F698" s="13" t="s">
        <v>6952</v>
      </c>
      <c r="G698" s="1" t="s">
        <v>4181</v>
      </c>
      <c r="H698" s="1" t="s">
        <v>61</v>
      </c>
      <c r="I698" s="1">
        <v>448</v>
      </c>
      <c r="J698" s="1" t="s">
        <v>46</v>
      </c>
      <c r="M698" s="1" t="s">
        <v>756</v>
      </c>
      <c r="N698" s="1" t="s">
        <v>48</v>
      </c>
      <c r="O698" s="9">
        <v>10</v>
      </c>
      <c r="P698" s="1">
        <f>ROUNDUP(1240*(1-$F$3),2)</f>
        <v>1240</v>
      </c>
      <c r="Q698" s="1" t="s">
        <v>49</v>
      </c>
      <c r="R698" s="1" t="s">
        <v>4182</v>
      </c>
      <c r="S698" s="1" t="s">
        <v>4183</v>
      </c>
      <c r="T698" s="9">
        <v>10</v>
      </c>
      <c r="U698" s="1">
        <f>ROUNDUP(1127.27*(1-$F$3),2)</f>
        <v>1127.27</v>
      </c>
      <c r="V698" s="1">
        <v>532</v>
      </c>
      <c r="Y698" s="1" t="s">
        <v>4184</v>
      </c>
      <c r="Z698" s="1" t="s">
        <v>53</v>
      </c>
      <c r="AA698" s="12">
        <v>44273</v>
      </c>
      <c r="AB698" s="1" t="s">
        <v>728</v>
      </c>
      <c r="AC698" s="1" t="s">
        <v>4185</v>
      </c>
      <c r="AD698" s="1" t="s">
        <v>4186</v>
      </c>
      <c r="AE698" s="1" t="s">
        <v>69</v>
      </c>
      <c r="AG698" s="1">
        <v>9632720</v>
      </c>
    </row>
    <row r="699" spans="3:33" s="1" customFormat="1" x14ac:dyDescent="0.25">
      <c r="C699" s="1" t="s">
        <v>4187</v>
      </c>
      <c r="D699" s="1" t="s">
        <v>4008</v>
      </c>
      <c r="E699" s="1" t="s">
        <v>4188</v>
      </c>
      <c r="F699" s="13" t="s">
        <v>6952</v>
      </c>
      <c r="G699" s="1" t="s">
        <v>4189</v>
      </c>
      <c r="H699" s="1" t="s">
        <v>61</v>
      </c>
      <c r="I699" s="1">
        <v>336</v>
      </c>
      <c r="J699" s="1" t="s">
        <v>46</v>
      </c>
      <c r="M699" s="1" t="s">
        <v>169</v>
      </c>
      <c r="N699" s="1" t="s">
        <v>48</v>
      </c>
      <c r="O699" s="9">
        <v>12</v>
      </c>
      <c r="P699" s="1">
        <f>ROUNDUP(1030*(1-$F$3),2)</f>
        <v>1030</v>
      </c>
      <c r="Q699" s="1" t="s">
        <v>49</v>
      </c>
      <c r="R699" s="1" t="s">
        <v>4190</v>
      </c>
      <c r="S699" s="1" t="s">
        <v>4191</v>
      </c>
      <c r="T699" s="9">
        <v>10</v>
      </c>
      <c r="U699" s="1">
        <f>ROUNDUP(936.36*(1-$F$3),2)</f>
        <v>936.36</v>
      </c>
      <c r="V699" s="1">
        <v>413</v>
      </c>
      <c r="Y699" s="1" t="s">
        <v>4192</v>
      </c>
      <c r="Z699" s="1" t="s">
        <v>53</v>
      </c>
      <c r="AA699" s="12">
        <v>44827</v>
      </c>
      <c r="AB699" s="1" t="s">
        <v>66</v>
      </c>
      <c r="AC699" s="1" t="s">
        <v>120</v>
      </c>
      <c r="AD699" s="1" t="s">
        <v>121</v>
      </c>
      <c r="AE699" s="1" t="s">
        <v>69</v>
      </c>
      <c r="AG699" s="1">
        <v>10556720</v>
      </c>
    </row>
    <row r="700" spans="3:33" s="1" customFormat="1" x14ac:dyDescent="0.25">
      <c r="C700" s="1" t="s">
        <v>4193</v>
      </c>
      <c r="D700" s="1" t="s">
        <v>4008</v>
      </c>
      <c r="E700" s="1" t="s">
        <v>4194</v>
      </c>
      <c r="F700" s="13" t="s">
        <v>6952</v>
      </c>
      <c r="G700" s="1" t="s">
        <v>4195</v>
      </c>
      <c r="H700" s="1" t="s">
        <v>61</v>
      </c>
      <c r="I700" s="1">
        <v>480</v>
      </c>
      <c r="J700" s="1" t="s">
        <v>46</v>
      </c>
      <c r="M700" s="1" t="s">
        <v>169</v>
      </c>
      <c r="N700" s="1" t="s">
        <v>139</v>
      </c>
      <c r="O700" s="9">
        <v>6</v>
      </c>
      <c r="P700" s="1">
        <f>ROUNDUP(1060*(1-$F$3),2)</f>
        <v>1060</v>
      </c>
      <c r="Q700" s="1" t="s">
        <v>49</v>
      </c>
      <c r="R700" s="1" t="s">
        <v>4196</v>
      </c>
      <c r="S700" s="1" t="s">
        <v>4197</v>
      </c>
      <c r="T700" s="9">
        <v>10</v>
      </c>
      <c r="U700" s="1">
        <f>ROUNDUP(963.64*(1-$F$3),2)</f>
        <v>963.64</v>
      </c>
      <c r="V700" s="1">
        <v>405</v>
      </c>
      <c r="Y700" s="1" t="s">
        <v>4198</v>
      </c>
      <c r="Z700" s="1" t="s">
        <v>76</v>
      </c>
      <c r="AA700" s="12">
        <v>44708</v>
      </c>
      <c r="AB700" s="1" t="s">
        <v>66</v>
      </c>
      <c r="AC700" s="1" t="s">
        <v>120</v>
      </c>
      <c r="AD700" s="1" t="s">
        <v>121</v>
      </c>
      <c r="AE700" s="1" t="s">
        <v>878</v>
      </c>
      <c r="AG700" s="1">
        <v>10419660</v>
      </c>
    </row>
    <row r="701" spans="3:33" s="1" customFormat="1" x14ac:dyDescent="0.25">
      <c r="C701" s="1" t="s">
        <v>4199</v>
      </c>
      <c r="D701" s="1" t="s">
        <v>4200</v>
      </c>
      <c r="E701" s="1" t="s">
        <v>960</v>
      </c>
      <c r="F701" s="13" t="s">
        <v>6952</v>
      </c>
      <c r="G701" s="1" t="s">
        <v>961</v>
      </c>
      <c r="H701" s="1" t="s">
        <v>160</v>
      </c>
      <c r="I701" s="1">
        <v>352</v>
      </c>
      <c r="J701" s="1" t="s">
        <v>46</v>
      </c>
      <c r="M701" s="1" t="s">
        <v>756</v>
      </c>
      <c r="N701" s="1" t="s">
        <v>48</v>
      </c>
      <c r="O701" s="9">
        <v>10</v>
      </c>
      <c r="P701" s="1">
        <f>ROUNDUP(760*(1-$F$3),2)</f>
        <v>760</v>
      </c>
      <c r="Q701" s="1" t="s">
        <v>49</v>
      </c>
      <c r="R701" s="1" t="s">
        <v>4201</v>
      </c>
      <c r="S701" s="1" t="s">
        <v>4202</v>
      </c>
      <c r="T701" s="9">
        <v>10</v>
      </c>
      <c r="U701" s="1">
        <f>ROUNDUP(690.91*(1-$F$3),2)</f>
        <v>690.91</v>
      </c>
      <c r="V701" s="1">
        <v>288</v>
      </c>
      <c r="Y701" s="1" t="s">
        <v>964</v>
      </c>
      <c r="Z701" s="1" t="s">
        <v>53</v>
      </c>
      <c r="AA701" s="12">
        <v>44524</v>
      </c>
      <c r="AB701" s="1" t="s">
        <v>66</v>
      </c>
      <c r="AC701" s="1" t="s">
        <v>120</v>
      </c>
      <c r="AD701" s="1" t="s">
        <v>121</v>
      </c>
      <c r="AE701" s="1" t="s">
        <v>69</v>
      </c>
      <c r="AG701" s="1">
        <v>9801230</v>
      </c>
    </row>
    <row r="702" spans="3:33" s="1" customFormat="1" x14ac:dyDescent="0.25">
      <c r="C702" s="1" t="s">
        <v>4203</v>
      </c>
      <c r="D702" s="1" t="s">
        <v>4204</v>
      </c>
      <c r="E702" s="1" t="s">
        <v>4205</v>
      </c>
      <c r="F702" s="13" t="s">
        <v>6952</v>
      </c>
      <c r="G702" s="1" t="s">
        <v>4206</v>
      </c>
      <c r="H702" s="1" t="s">
        <v>61</v>
      </c>
      <c r="I702" s="1">
        <v>400</v>
      </c>
      <c r="J702" s="1" t="s">
        <v>46</v>
      </c>
      <c r="M702" s="1" t="s">
        <v>169</v>
      </c>
      <c r="N702" s="1" t="s">
        <v>48</v>
      </c>
      <c r="O702" s="9">
        <v>8</v>
      </c>
      <c r="P702" s="1">
        <f>ROUNDUP(1240*(1-$F$3),2)</f>
        <v>1240</v>
      </c>
      <c r="Q702" s="1" t="s">
        <v>49</v>
      </c>
      <c r="R702" s="1" t="s">
        <v>4207</v>
      </c>
      <c r="S702" s="1" t="s">
        <v>4208</v>
      </c>
      <c r="T702" s="9">
        <v>22</v>
      </c>
      <c r="U702" s="1">
        <f>ROUNDUP(1016.39*(1-$F$3),2)</f>
        <v>1016.39</v>
      </c>
      <c r="V702" s="1">
        <v>474</v>
      </c>
      <c r="Y702" s="1" t="s">
        <v>4209</v>
      </c>
      <c r="Z702" s="1" t="s">
        <v>76</v>
      </c>
      <c r="AA702" s="12">
        <v>45818</v>
      </c>
      <c r="AB702" s="1" t="s">
        <v>66</v>
      </c>
      <c r="AC702" s="1" t="s">
        <v>120</v>
      </c>
      <c r="AD702" s="1" t="s">
        <v>343</v>
      </c>
      <c r="AE702" s="1" t="s">
        <v>69</v>
      </c>
      <c r="AG702" s="1">
        <v>11771230</v>
      </c>
    </row>
    <row r="703" spans="3:33" s="1" customFormat="1" x14ac:dyDescent="0.25">
      <c r="C703" s="1" t="s">
        <v>4210</v>
      </c>
      <c r="D703" s="1" t="s">
        <v>4211</v>
      </c>
      <c r="E703" s="1" t="s">
        <v>4212</v>
      </c>
      <c r="F703" s="13" t="s">
        <v>6952</v>
      </c>
      <c r="H703" s="1" t="s">
        <v>160</v>
      </c>
      <c r="I703" s="1">
        <v>288</v>
      </c>
      <c r="J703" s="1" t="s">
        <v>46</v>
      </c>
      <c r="M703" s="1" t="s">
        <v>835</v>
      </c>
      <c r="N703" s="1" t="s">
        <v>48</v>
      </c>
      <c r="O703" s="9">
        <v>14</v>
      </c>
      <c r="P703" s="1">
        <f>ROUNDUP(780*(1-$F$3),2)</f>
        <v>780</v>
      </c>
      <c r="Q703" s="1" t="s">
        <v>49</v>
      </c>
      <c r="R703" s="1" t="s">
        <v>4213</v>
      </c>
      <c r="S703" s="1" t="s">
        <v>4214</v>
      </c>
      <c r="T703" s="9">
        <v>10</v>
      </c>
      <c r="U703" s="1">
        <f>ROUNDUP(709.09*(1-$F$3),2)</f>
        <v>709.09</v>
      </c>
      <c r="V703" s="1">
        <v>259</v>
      </c>
      <c r="Y703" s="1" t="s">
        <v>4215</v>
      </c>
      <c r="Z703" s="1" t="s">
        <v>53</v>
      </c>
      <c r="AA703" s="12">
        <v>43153</v>
      </c>
      <c r="AB703" s="1" t="s">
        <v>219</v>
      </c>
      <c r="AC703" s="1" t="s">
        <v>220</v>
      </c>
      <c r="AD703" s="1" t="s">
        <v>221</v>
      </c>
      <c r="AE703" s="1" t="s">
        <v>878</v>
      </c>
      <c r="AG703" s="1">
        <v>8467010</v>
      </c>
    </row>
    <row r="704" spans="3:33" s="1" customFormat="1" x14ac:dyDescent="0.25">
      <c r="C704" s="1" t="s">
        <v>4216</v>
      </c>
      <c r="D704" s="1" t="s">
        <v>4211</v>
      </c>
      <c r="E704" s="1" t="s">
        <v>4217</v>
      </c>
      <c r="F704" s="13" t="s">
        <v>6952</v>
      </c>
      <c r="H704" s="1" t="s">
        <v>160</v>
      </c>
      <c r="I704" s="1">
        <v>320</v>
      </c>
      <c r="J704" s="1" t="s">
        <v>46</v>
      </c>
      <c r="M704" s="1" t="s">
        <v>2310</v>
      </c>
      <c r="N704" s="1" t="s">
        <v>48</v>
      </c>
      <c r="O704" s="9">
        <v>14</v>
      </c>
      <c r="P704" s="1">
        <f>ROUNDUP(780*(1-$F$3),2)</f>
        <v>780</v>
      </c>
      <c r="Q704" s="1" t="s">
        <v>49</v>
      </c>
      <c r="R704" s="1" t="s">
        <v>4218</v>
      </c>
      <c r="S704" s="1" t="s">
        <v>4219</v>
      </c>
      <c r="T704" s="9">
        <v>10</v>
      </c>
      <c r="U704" s="1">
        <f>ROUNDUP(709.09*(1-$F$3),2)</f>
        <v>709.09</v>
      </c>
      <c r="V704" s="1">
        <v>282</v>
      </c>
      <c r="Y704" s="1" t="s">
        <v>4220</v>
      </c>
      <c r="Z704" s="1" t="s">
        <v>128</v>
      </c>
      <c r="AA704" s="12">
        <v>43099</v>
      </c>
      <c r="AB704" s="1" t="s">
        <v>219</v>
      </c>
      <c r="AC704" s="1" t="s">
        <v>220</v>
      </c>
      <c r="AD704" s="1" t="s">
        <v>4221</v>
      </c>
      <c r="AE704" s="1" t="s">
        <v>878</v>
      </c>
      <c r="AG704" s="1">
        <v>8419600</v>
      </c>
    </row>
    <row r="705" spans="3:33" s="1" customFormat="1" x14ac:dyDescent="0.25">
      <c r="C705" s="1" t="s">
        <v>4222</v>
      </c>
      <c r="D705" s="1" t="s">
        <v>4223</v>
      </c>
      <c r="E705" s="1" t="s">
        <v>4224</v>
      </c>
      <c r="F705" s="13" t="s">
        <v>6952</v>
      </c>
      <c r="G705" s="1" t="s">
        <v>183</v>
      </c>
      <c r="H705" s="1" t="s">
        <v>61</v>
      </c>
      <c r="I705" s="1">
        <v>272</v>
      </c>
      <c r="J705" s="1" t="s">
        <v>46</v>
      </c>
      <c r="M705" s="1" t="s">
        <v>62</v>
      </c>
      <c r="N705" s="1" t="s">
        <v>48</v>
      </c>
      <c r="O705" s="9">
        <v>10</v>
      </c>
      <c r="P705" s="1">
        <f>ROUNDUP(960*(1-$F$3),2)</f>
        <v>960</v>
      </c>
      <c r="Q705" s="1" t="s">
        <v>49</v>
      </c>
      <c r="R705" s="1" t="s">
        <v>4225</v>
      </c>
      <c r="S705" s="1" t="s">
        <v>4226</v>
      </c>
      <c r="T705" s="9">
        <v>10</v>
      </c>
      <c r="U705" s="1">
        <f>ROUNDUP(872.73*(1-$F$3),2)</f>
        <v>872.73</v>
      </c>
      <c r="V705" s="1">
        <v>427</v>
      </c>
      <c r="Y705" s="1" t="s">
        <v>4227</v>
      </c>
      <c r="Z705" s="1" t="s">
        <v>53</v>
      </c>
      <c r="AA705" s="12">
        <v>45987</v>
      </c>
      <c r="AB705" s="1" t="s">
        <v>66</v>
      </c>
      <c r="AC705" s="1" t="s">
        <v>77</v>
      </c>
      <c r="AD705" s="1" t="s">
        <v>78</v>
      </c>
      <c r="AE705" s="1" t="s">
        <v>69</v>
      </c>
      <c r="AG705" s="1">
        <v>11946570</v>
      </c>
    </row>
    <row r="706" spans="3:33" s="1" customFormat="1" x14ac:dyDescent="0.25">
      <c r="C706" s="1" t="s">
        <v>4228</v>
      </c>
      <c r="D706" s="1" t="s">
        <v>4229</v>
      </c>
      <c r="E706" s="1" t="s">
        <v>4230</v>
      </c>
      <c r="F706" s="13" t="s">
        <v>6952</v>
      </c>
      <c r="G706" s="1" t="s">
        <v>3604</v>
      </c>
      <c r="H706" s="1" t="s">
        <v>160</v>
      </c>
      <c r="I706" s="1">
        <v>408</v>
      </c>
      <c r="J706" s="1" t="s">
        <v>46</v>
      </c>
      <c r="M706" s="1" t="s">
        <v>756</v>
      </c>
      <c r="N706" s="1" t="s">
        <v>139</v>
      </c>
      <c r="O706" s="9">
        <v>14</v>
      </c>
      <c r="P706" s="1">
        <f>ROUNDUP(1020*(1-$F$3),2)</f>
        <v>1020</v>
      </c>
      <c r="Q706" s="1" t="s">
        <v>49</v>
      </c>
      <c r="R706" s="1" t="s">
        <v>4231</v>
      </c>
      <c r="S706" s="1" t="s">
        <v>4232</v>
      </c>
      <c r="T706" s="9">
        <v>10</v>
      </c>
      <c r="U706" s="1">
        <f>ROUNDUP(927.27*(1-$F$3),2)</f>
        <v>927.27</v>
      </c>
      <c r="V706" s="1">
        <v>359</v>
      </c>
      <c r="Y706" s="1" t="s">
        <v>4233</v>
      </c>
      <c r="Z706" s="1" t="s">
        <v>53</v>
      </c>
      <c r="AA706" s="12">
        <v>44210</v>
      </c>
      <c r="AB706" s="1" t="s">
        <v>66</v>
      </c>
      <c r="AC706" s="1" t="s">
        <v>77</v>
      </c>
      <c r="AD706" s="1" t="s">
        <v>78</v>
      </c>
      <c r="AE706" s="1" t="s">
        <v>69</v>
      </c>
      <c r="AG706" s="1">
        <v>9597410</v>
      </c>
    </row>
    <row r="707" spans="3:33" s="1" customFormat="1" x14ac:dyDescent="0.25">
      <c r="C707" s="1" t="s">
        <v>4234</v>
      </c>
      <c r="D707" s="1" t="s">
        <v>4235</v>
      </c>
      <c r="E707" s="1" t="s">
        <v>4236</v>
      </c>
      <c r="F707" s="13" t="s">
        <v>6952</v>
      </c>
      <c r="G707" s="1" t="s">
        <v>4237</v>
      </c>
      <c r="H707" s="1" t="s">
        <v>160</v>
      </c>
      <c r="I707" s="1">
        <v>742</v>
      </c>
      <c r="J707" s="1" t="s">
        <v>46</v>
      </c>
      <c r="M707" s="1" t="s">
        <v>47</v>
      </c>
      <c r="N707" s="1" t="s">
        <v>48</v>
      </c>
      <c r="O707" s="9">
        <v>3</v>
      </c>
      <c r="P707" s="1">
        <f>ROUNDUP(1770*(1-$F$3),2)</f>
        <v>1770</v>
      </c>
      <c r="Q707" s="1" t="s">
        <v>49</v>
      </c>
      <c r="R707" s="1" t="s">
        <v>4238</v>
      </c>
      <c r="S707" s="1" t="s">
        <v>4239</v>
      </c>
      <c r="T707" s="9">
        <v>10</v>
      </c>
      <c r="U707" s="1">
        <f>ROUNDUP(1609.09*(1-$F$3),2)</f>
        <v>1609.09</v>
      </c>
      <c r="V707" s="1">
        <v>727</v>
      </c>
      <c r="Y707" s="1" t="s">
        <v>4240</v>
      </c>
      <c r="Z707" s="1" t="s">
        <v>128</v>
      </c>
      <c r="AA707" s="12">
        <v>44732</v>
      </c>
      <c r="AB707" s="1" t="s">
        <v>334</v>
      </c>
      <c r="AC707" s="1" t="s">
        <v>892</v>
      </c>
      <c r="AD707" s="1" t="s">
        <v>893</v>
      </c>
      <c r="AE707" s="1" t="s">
        <v>69</v>
      </c>
      <c r="AG707" s="1">
        <v>10488820</v>
      </c>
    </row>
    <row r="708" spans="3:33" s="1" customFormat="1" x14ac:dyDescent="0.25">
      <c r="C708" s="1" t="s">
        <v>4241</v>
      </c>
      <c r="D708" s="1" t="s">
        <v>4235</v>
      </c>
      <c r="E708" s="1" t="s">
        <v>4242</v>
      </c>
      <c r="F708" s="13" t="s">
        <v>6952</v>
      </c>
      <c r="G708" s="1" t="s">
        <v>4243</v>
      </c>
      <c r="H708" s="1" t="s">
        <v>160</v>
      </c>
      <c r="I708" s="1">
        <v>768</v>
      </c>
      <c r="J708" s="1" t="s">
        <v>46</v>
      </c>
      <c r="M708" s="1" t="s">
        <v>47</v>
      </c>
      <c r="N708" s="1" t="s">
        <v>48</v>
      </c>
      <c r="O708" s="9">
        <v>6</v>
      </c>
      <c r="P708" s="1">
        <f>ROUNDUP(2090*(1-$F$3),2)</f>
        <v>2090</v>
      </c>
      <c r="Q708" s="1" t="s">
        <v>49</v>
      </c>
      <c r="R708" s="1" t="s">
        <v>4244</v>
      </c>
      <c r="S708" s="1" t="s">
        <v>4245</v>
      </c>
      <c r="T708" s="9">
        <v>10</v>
      </c>
      <c r="U708" s="1">
        <f>ROUNDUP(1900*(1-$F$3),2)</f>
        <v>1900</v>
      </c>
      <c r="V708" s="1">
        <v>739</v>
      </c>
      <c r="Y708" s="1" t="s">
        <v>4246</v>
      </c>
      <c r="Z708" s="1" t="s">
        <v>53</v>
      </c>
      <c r="AA708" s="12">
        <v>44732</v>
      </c>
      <c r="AB708" s="1" t="s">
        <v>95</v>
      </c>
      <c r="AC708" s="1" t="s">
        <v>96</v>
      </c>
      <c r="AD708" s="1" t="s">
        <v>1286</v>
      </c>
      <c r="AE708" s="1" t="s">
        <v>69</v>
      </c>
      <c r="AG708" s="1">
        <v>10482280</v>
      </c>
    </row>
    <row r="709" spans="3:33" s="1" customFormat="1" x14ac:dyDescent="0.25">
      <c r="C709" s="1" t="s">
        <v>4247</v>
      </c>
      <c r="D709" s="1" t="s">
        <v>4248</v>
      </c>
      <c r="E709" s="1" t="s">
        <v>4249</v>
      </c>
      <c r="F709" s="13" t="s">
        <v>6952</v>
      </c>
      <c r="G709" s="1" t="s">
        <v>4250</v>
      </c>
      <c r="H709" s="1" t="s">
        <v>82</v>
      </c>
      <c r="I709" s="1">
        <v>192</v>
      </c>
      <c r="J709" s="1" t="s">
        <v>46</v>
      </c>
      <c r="M709" s="1" t="s">
        <v>835</v>
      </c>
      <c r="N709" s="1" t="s">
        <v>48</v>
      </c>
      <c r="O709" s="9">
        <v>10</v>
      </c>
      <c r="P709" s="1">
        <f>ROUNDUP(2130*(1-$F$3),2)</f>
        <v>2130</v>
      </c>
      <c r="Q709" s="1" t="s">
        <v>49</v>
      </c>
      <c r="R709" s="1" t="s">
        <v>4251</v>
      </c>
      <c r="S709" s="1" t="s">
        <v>4252</v>
      </c>
      <c r="T709" s="9">
        <v>10</v>
      </c>
      <c r="U709" s="1">
        <f>ROUNDUP(1936.36*(1-$F$3),2)</f>
        <v>1936.36</v>
      </c>
      <c r="V709" s="1">
        <v>534</v>
      </c>
      <c r="Y709" s="1" t="s">
        <v>4253</v>
      </c>
      <c r="Z709" s="1" t="s">
        <v>128</v>
      </c>
      <c r="AA709" s="12">
        <v>44015</v>
      </c>
      <c r="AB709" s="1" t="s">
        <v>334</v>
      </c>
      <c r="AC709" s="1" t="s">
        <v>4254</v>
      </c>
      <c r="AD709" s="1" t="s">
        <v>4255</v>
      </c>
      <c r="AE709" s="1" t="s">
        <v>69</v>
      </c>
      <c r="AG709" s="1">
        <v>9416860</v>
      </c>
    </row>
    <row r="710" spans="3:33" s="1" customFormat="1" x14ac:dyDescent="0.25">
      <c r="C710" s="1" t="s">
        <v>4256</v>
      </c>
      <c r="D710" s="1" t="s">
        <v>4257</v>
      </c>
      <c r="E710" s="1" t="s">
        <v>4258</v>
      </c>
      <c r="F710" s="13" t="s">
        <v>6952</v>
      </c>
      <c r="G710" s="1" t="s">
        <v>4259</v>
      </c>
      <c r="H710" s="1" t="s">
        <v>160</v>
      </c>
      <c r="I710" s="1">
        <v>320</v>
      </c>
      <c r="J710" s="1" t="s">
        <v>46</v>
      </c>
      <c r="M710" s="1" t="s">
        <v>169</v>
      </c>
      <c r="N710" s="1" t="s">
        <v>48</v>
      </c>
      <c r="O710" s="9">
        <v>10</v>
      </c>
      <c r="P710" s="1">
        <f>ROUNDUP(960*(1-$F$3),2)</f>
        <v>960</v>
      </c>
      <c r="Q710" s="1" t="s">
        <v>49</v>
      </c>
      <c r="R710" s="1" t="s">
        <v>4260</v>
      </c>
      <c r="S710" s="1" t="s">
        <v>4261</v>
      </c>
      <c r="T710" s="9">
        <v>10</v>
      </c>
      <c r="U710" s="1">
        <f>ROUNDUP(872.73*(1-$F$3),2)</f>
        <v>872.73</v>
      </c>
      <c r="V710" s="1">
        <v>366</v>
      </c>
      <c r="Y710" s="1" t="s">
        <v>4262</v>
      </c>
      <c r="Z710" s="1" t="s">
        <v>128</v>
      </c>
      <c r="AA710" s="12">
        <v>44600</v>
      </c>
      <c r="AB710" s="1" t="s">
        <v>95</v>
      </c>
      <c r="AC710" s="1" t="s">
        <v>112</v>
      </c>
      <c r="AD710" s="1" t="s">
        <v>536</v>
      </c>
      <c r="AE710" s="1" t="s">
        <v>69</v>
      </c>
      <c r="AG710" s="1">
        <v>10034160</v>
      </c>
    </row>
    <row r="711" spans="3:33" s="1" customFormat="1" x14ac:dyDescent="0.25">
      <c r="C711" s="1" t="s">
        <v>4263</v>
      </c>
      <c r="D711" s="1" t="s">
        <v>4257</v>
      </c>
      <c r="E711" s="1" t="s">
        <v>4264</v>
      </c>
      <c r="F711" s="13" t="s">
        <v>6952</v>
      </c>
      <c r="G711" s="1" t="s">
        <v>4259</v>
      </c>
      <c r="H711" s="1" t="s">
        <v>160</v>
      </c>
      <c r="I711" s="1">
        <v>448</v>
      </c>
      <c r="J711" s="1" t="s">
        <v>46</v>
      </c>
      <c r="M711" s="1" t="s">
        <v>169</v>
      </c>
      <c r="N711" s="1" t="s">
        <v>48</v>
      </c>
      <c r="O711" s="9">
        <v>8</v>
      </c>
      <c r="P711" s="1">
        <f>ROUNDUP(1140*(1-$F$3),2)</f>
        <v>1140</v>
      </c>
      <c r="Q711" s="1" t="s">
        <v>49</v>
      </c>
      <c r="R711" s="1" t="s">
        <v>4265</v>
      </c>
      <c r="S711" s="1" t="s">
        <v>4266</v>
      </c>
      <c r="T711" s="9">
        <v>10</v>
      </c>
      <c r="U711" s="1">
        <f>ROUNDUP(1036.36*(1-$F$3),2)</f>
        <v>1036.3599999999999</v>
      </c>
      <c r="V711" s="1">
        <v>473</v>
      </c>
      <c r="Y711" s="1" t="s">
        <v>4267</v>
      </c>
      <c r="Z711" s="1" t="s">
        <v>128</v>
      </c>
      <c r="AA711" s="12">
        <v>44600</v>
      </c>
      <c r="AB711" s="1" t="s">
        <v>728</v>
      </c>
      <c r="AC711" s="1" t="s">
        <v>2642</v>
      </c>
      <c r="AD711" s="1" t="s">
        <v>4268</v>
      </c>
      <c r="AE711" s="1" t="s">
        <v>69</v>
      </c>
      <c r="AG711" s="1">
        <v>10043500</v>
      </c>
    </row>
    <row r="712" spans="3:33" s="1" customFormat="1" x14ac:dyDescent="0.25">
      <c r="C712" s="1" t="s">
        <v>4269</v>
      </c>
      <c r="D712" s="1" t="s">
        <v>4257</v>
      </c>
      <c r="E712" s="1" t="s">
        <v>4270</v>
      </c>
      <c r="F712" s="13" t="s">
        <v>6952</v>
      </c>
      <c r="G712" s="1" t="s">
        <v>4259</v>
      </c>
      <c r="H712" s="1" t="s">
        <v>160</v>
      </c>
      <c r="I712" s="1">
        <v>232</v>
      </c>
      <c r="J712" s="1" t="s">
        <v>46</v>
      </c>
      <c r="K712" s="1" t="s">
        <v>261</v>
      </c>
      <c r="M712" s="1" t="s">
        <v>169</v>
      </c>
      <c r="N712" s="1" t="s">
        <v>48</v>
      </c>
      <c r="O712" s="9">
        <v>14</v>
      </c>
      <c r="P712" s="1">
        <f>ROUNDUP(940*(1-$F$3),2)</f>
        <v>940</v>
      </c>
      <c r="Q712" s="1" t="s">
        <v>49</v>
      </c>
      <c r="R712" s="1" t="s">
        <v>4271</v>
      </c>
      <c r="S712" s="1" t="s">
        <v>4272</v>
      </c>
      <c r="T712" s="9">
        <v>10</v>
      </c>
      <c r="U712" s="1">
        <f>ROUNDUP(854.55*(1-$F$3),2)</f>
        <v>854.55</v>
      </c>
      <c r="V712" s="1">
        <v>331</v>
      </c>
      <c r="Y712" s="1" t="s">
        <v>4273</v>
      </c>
      <c r="Z712" s="1" t="s">
        <v>128</v>
      </c>
      <c r="AA712" s="12">
        <v>44643</v>
      </c>
      <c r="AB712" s="1" t="s">
        <v>95</v>
      </c>
      <c r="AC712" s="1" t="s">
        <v>112</v>
      </c>
      <c r="AD712" s="1" t="s">
        <v>1795</v>
      </c>
      <c r="AE712" s="1" t="s">
        <v>69</v>
      </c>
      <c r="AG712" s="1">
        <v>10019590</v>
      </c>
    </row>
    <row r="713" spans="3:33" s="1" customFormat="1" x14ac:dyDescent="0.25">
      <c r="C713" s="1" t="s">
        <v>4274</v>
      </c>
      <c r="D713" s="1" t="s">
        <v>4275</v>
      </c>
      <c r="E713" s="1" t="s">
        <v>4276</v>
      </c>
      <c r="F713" s="13" t="s">
        <v>6952</v>
      </c>
      <c r="G713" s="1" t="s">
        <v>4277</v>
      </c>
      <c r="H713" s="1" t="s">
        <v>160</v>
      </c>
      <c r="I713" s="1">
        <v>640</v>
      </c>
      <c r="J713" s="1" t="s">
        <v>46</v>
      </c>
      <c r="M713" s="1" t="s">
        <v>161</v>
      </c>
      <c r="N713" s="1" t="s">
        <v>48</v>
      </c>
      <c r="O713" s="9">
        <v>6</v>
      </c>
      <c r="P713" s="1">
        <f>ROUNDUP(1550*(1-$F$3),2)</f>
        <v>1550</v>
      </c>
      <c r="Q713" s="1" t="s">
        <v>49</v>
      </c>
      <c r="R713" s="1" t="s">
        <v>4278</v>
      </c>
      <c r="S713" s="1" t="s">
        <v>4279</v>
      </c>
      <c r="T713" s="9">
        <v>22</v>
      </c>
      <c r="U713" s="1">
        <f>ROUNDUP(1270.49*(1-$F$3),2)</f>
        <v>1270.49</v>
      </c>
      <c r="V713" s="1">
        <v>631</v>
      </c>
      <c r="Y713" s="1" t="s">
        <v>4280</v>
      </c>
      <c r="Z713" s="1" t="s">
        <v>76</v>
      </c>
      <c r="AA713" s="12">
        <v>44941</v>
      </c>
      <c r="AB713" s="1" t="s">
        <v>234</v>
      </c>
      <c r="AC713" s="1" t="s">
        <v>528</v>
      </c>
      <c r="AD713" s="1" t="s">
        <v>529</v>
      </c>
      <c r="AE713" s="1" t="s">
        <v>69</v>
      </c>
      <c r="AG713" s="1">
        <v>10748430</v>
      </c>
    </row>
    <row r="714" spans="3:33" s="1" customFormat="1" x14ac:dyDescent="0.25">
      <c r="C714" s="1" t="s">
        <v>4281</v>
      </c>
      <c r="D714" s="1" t="s">
        <v>4275</v>
      </c>
      <c r="E714" s="1" t="s">
        <v>4282</v>
      </c>
      <c r="F714" s="13" t="s">
        <v>6952</v>
      </c>
      <c r="G714" s="1" t="s">
        <v>4283</v>
      </c>
      <c r="H714" s="1" t="s">
        <v>160</v>
      </c>
      <c r="I714" s="1">
        <v>368</v>
      </c>
      <c r="J714" s="1" t="s">
        <v>46</v>
      </c>
      <c r="M714" s="1" t="s">
        <v>169</v>
      </c>
      <c r="N714" s="1" t="s">
        <v>48</v>
      </c>
      <c r="O714" s="9">
        <v>8</v>
      </c>
      <c r="P714" s="1">
        <f>ROUNDUP(1100*(1-$F$3),2)</f>
        <v>1100</v>
      </c>
      <c r="Q714" s="1" t="s">
        <v>49</v>
      </c>
      <c r="R714" s="1" t="s">
        <v>4284</v>
      </c>
      <c r="S714" s="1" t="s">
        <v>4285</v>
      </c>
      <c r="T714" s="9">
        <v>22</v>
      </c>
      <c r="U714" s="1">
        <f>ROUNDUP(901.64*(1-$F$3),2)</f>
        <v>901.64</v>
      </c>
      <c r="V714" s="1">
        <v>404</v>
      </c>
      <c r="Y714" s="1" t="s">
        <v>4286</v>
      </c>
      <c r="Z714" s="1" t="s">
        <v>76</v>
      </c>
      <c r="AA714" s="12">
        <v>44584</v>
      </c>
      <c r="AB714" s="1" t="s">
        <v>66</v>
      </c>
      <c r="AC714" s="1" t="s">
        <v>143</v>
      </c>
      <c r="AD714" s="1" t="s">
        <v>847</v>
      </c>
      <c r="AE714" s="1" t="s">
        <v>69</v>
      </c>
      <c r="AG714" s="1">
        <v>10170730</v>
      </c>
    </row>
    <row r="715" spans="3:33" s="1" customFormat="1" x14ac:dyDescent="0.25">
      <c r="C715" s="1" t="s">
        <v>4287</v>
      </c>
      <c r="D715" s="1" t="s">
        <v>4275</v>
      </c>
      <c r="E715" s="1" t="s">
        <v>4288</v>
      </c>
      <c r="F715" s="13" t="s">
        <v>6952</v>
      </c>
      <c r="G715" s="1" t="s">
        <v>4289</v>
      </c>
      <c r="H715" s="1" t="s">
        <v>160</v>
      </c>
      <c r="I715" s="1">
        <v>560</v>
      </c>
      <c r="J715" s="1" t="s">
        <v>46</v>
      </c>
      <c r="M715" s="1" t="s">
        <v>161</v>
      </c>
      <c r="N715" s="1" t="s">
        <v>48</v>
      </c>
      <c r="O715" s="9">
        <v>8</v>
      </c>
      <c r="P715" s="1">
        <f>ROUNDUP(1340*(1-$F$3),2)</f>
        <v>1340</v>
      </c>
      <c r="Q715" s="1" t="s">
        <v>49</v>
      </c>
      <c r="R715" s="1" t="s">
        <v>4290</v>
      </c>
      <c r="S715" s="1" t="s">
        <v>4291</v>
      </c>
      <c r="T715" s="9">
        <v>22</v>
      </c>
      <c r="U715" s="1">
        <f>ROUNDUP(1098.36*(1-$F$3),2)</f>
        <v>1098.3599999999999</v>
      </c>
      <c r="V715" s="1">
        <v>561</v>
      </c>
      <c r="Y715" s="1" t="s">
        <v>4292</v>
      </c>
      <c r="Z715" s="1" t="s">
        <v>76</v>
      </c>
      <c r="AA715" s="12">
        <v>44936</v>
      </c>
      <c r="AB715" s="1" t="s">
        <v>66</v>
      </c>
      <c r="AC715" s="1" t="s">
        <v>120</v>
      </c>
      <c r="AD715" s="1" t="s">
        <v>121</v>
      </c>
      <c r="AE715" s="1" t="s">
        <v>69</v>
      </c>
      <c r="AG715" s="1">
        <v>10739570</v>
      </c>
    </row>
    <row r="716" spans="3:33" s="1" customFormat="1" x14ac:dyDescent="0.25">
      <c r="C716" s="1" t="s">
        <v>4293</v>
      </c>
      <c r="D716" s="1" t="s">
        <v>4275</v>
      </c>
      <c r="E716" s="1" t="s">
        <v>4294</v>
      </c>
      <c r="F716" s="13" t="s">
        <v>6952</v>
      </c>
      <c r="G716" s="1" t="s">
        <v>4295</v>
      </c>
      <c r="H716" s="1" t="s">
        <v>160</v>
      </c>
      <c r="I716" s="1">
        <v>320</v>
      </c>
      <c r="J716" s="1" t="s">
        <v>46</v>
      </c>
      <c r="K716" s="1" t="s">
        <v>1566</v>
      </c>
      <c r="M716" s="1" t="s">
        <v>62</v>
      </c>
      <c r="N716" s="1" t="s">
        <v>48</v>
      </c>
      <c r="O716" s="9">
        <v>10</v>
      </c>
      <c r="P716" s="1">
        <f>ROUNDUP(1190*(1-$F$3),2)</f>
        <v>1190</v>
      </c>
      <c r="Q716" s="1" t="s">
        <v>49</v>
      </c>
      <c r="R716" s="1" t="s">
        <v>4296</v>
      </c>
      <c r="S716" s="1" t="s">
        <v>4297</v>
      </c>
      <c r="T716" s="9">
        <v>22</v>
      </c>
      <c r="U716" s="1">
        <f>ROUNDUP(975.41*(1-$F$3),2)</f>
        <v>975.41</v>
      </c>
      <c r="V716" s="1">
        <v>426</v>
      </c>
      <c r="Y716" s="1" t="s">
        <v>4298</v>
      </c>
      <c r="Z716" s="1" t="s">
        <v>76</v>
      </c>
      <c r="AA716" s="12">
        <v>43434</v>
      </c>
      <c r="AB716" s="1" t="s">
        <v>54</v>
      </c>
      <c r="AC716" s="1" t="s">
        <v>4299</v>
      </c>
      <c r="AD716" s="1" t="s">
        <v>4300</v>
      </c>
      <c r="AE716" s="1" t="s">
        <v>69</v>
      </c>
      <c r="AG716" s="1">
        <v>8859000</v>
      </c>
    </row>
    <row r="717" spans="3:33" s="1" customFormat="1" x14ac:dyDescent="0.25">
      <c r="C717" s="1" t="s">
        <v>4301</v>
      </c>
      <c r="D717" s="1" t="s">
        <v>4275</v>
      </c>
      <c r="E717" s="1" t="s">
        <v>4294</v>
      </c>
      <c r="F717" s="13" t="s">
        <v>6952</v>
      </c>
      <c r="G717" s="1" t="s">
        <v>4295</v>
      </c>
      <c r="H717" s="1" t="s">
        <v>160</v>
      </c>
      <c r="I717" s="1">
        <v>320</v>
      </c>
      <c r="J717" s="1" t="s">
        <v>46</v>
      </c>
      <c r="M717" s="1" t="s">
        <v>62</v>
      </c>
      <c r="N717" s="1" t="s">
        <v>48</v>
      </c>
      <c r="O717" s="9">
        <v>10</v>
      </c>
      <c r="P717" s="1">
        <f>ROUNDUP(1190*(1-$F$3),2)</f>
        <v>1190</v>
      </c>
      <c r="Q717" s="1" t="s">
        <v>49</v>
      </c>
      <c r="R717" s="1" t="s">
        <v>4302</v>
      </c>
      <c r="S717" s="1" t="s">
        <v>4303</v>
      </c>
      <c r="T717" s="9">
        <v>22</v>
      </c>
      <c r="U717" s="1">
        <f>ROUNDUP(975.41*(1-$F$3),2)</f>
        <v>975.41</v>
      </c>
      <c r="V717" s="1">
        <v>368</v>
      </c>
      <c r="Y717" s="1" t="s">
        <v>4298</v>
      </c>
      <c r="Z717" s="1" t="s">
        <v>76</v>
      </c>
      <c r="AA717" s="12">
        <v>44735</v>
      </c>
      <c r="AB717" s="1" t="s">
        <v>54</v>
      </c>
      <c r="AC717" s="1" t="s">
        <v>4299</v>
      </c>
      <c r="AD717" s="1" t="s">
        <v>4300</v>
      </c>
      <c r="AE717" s="1" t="s">
        <v>69</v>
      </c>
      <c r="AG717" s="1">
        <v>10455270</v>
      </c>
    </row>
    <row r="718" spans="3:33" s="1" customFormat="1" x14ac:dyDescent="0.25">
      <c r="C718" s="1" t="s">
        <v>4304</v>
      </c>
      <c r="D718" s="1" t="s">
        <v>4275</v>
      </c>
      <c r="E718" s="1" t="s">
        <v>4305</v>
      </c>
      <c r="F718" s="13" t="s">
        <v>6952</v>
      </c>
      <c r="G718" s="1" t="s">
        <v>4306</v>
      </c>
      <c r="H718" s="1" t="s">
        <v>160</v>
      </c>
      <c r="I718" s="1">
        <v>480</v>
      </c>
      <c r="J718" s="1" t="s">
        <v>46</v>
      </c>
      <c r="M718" s="1" t="s">
        <v>176</v>
      </c>
      <c r="N718" s="1" t="s">
        <v>48</v>
      </c>
      <c r="O718" s="9">
        <v>6</v>
      </c>
      <c r="P718" s="1">
        <f>ROUNDUP(1020*(1-$F$3),2)</f>
        <v>1020</v>
      </c>
      <c r="Q718" s="1" t="s">
        <v>49</v>
      </c>
      <c r="R718" s="1" t="s">
        <v>4307</v>
      </c>
      <c r="S718" s="1" t="s">
        <v>4308</v>
      </c>
      <c r="T718" s="9">
        <v>10</v>
      </c>
      <c r="U718" s="1">
        <f>ROUNDUP(927.27*(1-$F$3),2)</f>
        <v>927.27</v>
      </c>
      <c r="V718" s="1">
        <v>489</v>
      </c>
      <c r="Y718" s="1" t="s">
        <v>4309</v>
      </c>
      <c r="Z718" s="1" t="s">
        <v>53</v>
      </c>
      <c r="AA718" s="12">
        <v>45222</v>
      </c>
      <c r="AB718" s="1" t="s">
        <v>66</v>
      </c>
      <c r="AC718" s="1" t="s">
        <v>120</v>
      </c>
      <c r="AD718" s="1" t="s">
        <v>598</v>
      </c>
      <c r="AE718" s="1" t="s">
        <v>69</v>
      </c>
      <c r="AG718" s="1">
        <v>11092900</v>
      </c>
    </row>
    <row r="719" spans="3:33" s="1" customFormat="1" x14ac:dyDescent="0.25">
      <c r="C719" s="1" t="s">
        <v>4310</v>
      </c>
      <c r="D719" s="1" t="s">
        <v>4275</v>
      </c>
      <c r="E719" s="1" t="s">
        <v>4311</v>
      </c>
      <c r="F719" s="13" t="s">
        <v>6952</v>
      </c>
      <c r="G719" s="1" t="s">
        <v>4312</v>
      </c>
      <c r="H719" s="1" t="s">
        <v>160</v>
      </c>
      <c r="I719" s="1">
        <v>432</v>
      </c>
      <c r="J719" s="1" t="s">
        <v>46</v>
      </c>
      <c r="M719" s="1" t="s">
        <v>47</v>
      </c>
      <c r="N719" s="1" t="s">
        <v>48</v>
      </c>
      <c r="O719" s="9">
        <v>8</v>
      </c>
      <c r="P719" s="1">
        <f>ROUNDUP(1140*(1-$F$3),2)</f>
        <v>1140</v>
      </c>
      <c r="Q719" s="1" t="s">
        <v>49</v>
      </c>
      <c r="R719" s="1" t="s">
        <v>4313</v>
      </c>
      <c r="S719" s="1" t="s">
        <v>4314</v>
      </c>
      <c r="T719" s="9">
        <v>22</v>
      </c>
      <c r="U719" s="1">
        <f>ROUNDUP(934.43*(1-$F$3),2)</f>
        <v>934.43</v>
      </c>
      <c r="V719" s="1">
        <v>418</v>
      </c>
      <c r="Y719" s="1" t="s">
        <v>4315</v>
      </c>
      <c r="Z719" s="1" t="s">
        <v>76</v>
      </c>
      <c r="AA719" s="12">
        <v>44819</v>
      </c>
      <c r="AB719" s="1" t="s">
        <v>54</v>
      </c>
      <c r="AC719" s="1" t="s">
        <v>4299</v>
      </c>
      <c r="AD719" s="1" t="s">
        <v>4300</v>
      </c>
      <c r="AE719" s="1" t="s">
        <v>69</v>
      </c>
      <c r="AG719" s="1">
        <v>10530540</v>
      </c>
    </row>
    <row r="720" spans="3:33" s="1" customFormat="1" x14ac:dyDescent="0.25">
      <c r="C720" s="1" t="s">
        <v>4316</v>
      </c>
      <c r="D720" s="1" t="s">
        <v>4275</v>
      </c>
      <c r="E720" s="1" t="s">
        <v>4317</v>
      </c>
      <c r="F720" s="13" t="s">
        <v>6952</v>
      </c>
      <c r="G720" s="1" t="s">
        <v>4318</v>
      </c>
      <c r="H720" s="1" t="s">
        <v>160</v>
      </c>
      <c r="I720" s="1">
        <v>288</v>
      </c>
      <c r="J720" s="1" t="s">
        <v>46</v>
      </c>
      <c r="K720" s="1" t="s">
        <v>1566</v>
      </c>
      <c r="M720" s="1" t="s">
        <v>169</v>
      </c>
      <c r="N720" s="1" t="s">
        <v>48</v>
      </c>
      <c r="O720" s="9">
        <v>12</v>
      </c>
      <c r="P720" s="1">
        <f>ROUNDUP(1010*(1-$F$3),2)</f>
        <v>1010</v>
      </c>
      <c r="Q720" s="1" t="s">
        <v>49</v>
      </c>
      <c r="R720" s="1" t="s">
        <v>4319</v>
      </c>
      <c r="S720" s="1" t="s">
        <v>4320</v>
      </c>
      <c r="T720" s="9">
        <v>10</v>
      </c>
      <c r="U720" s="1">
        <f>ROUNDUP(918.18*(1-$F$3),2)</f>
        <v>918.18</v>
      </c>
      <c r="V720" s="1">
        <v>347</v>
      </c>
      <c r="Y720" s="1" t="s">
        <v>4321</v>
      </c>
      <c r="Z720" s="1" t="s">
        <v>53</v>
      </c>
      <c r="AA720" s="12">
        <v>43348</v>
      </c>
      <c r="AB720" s="1" t="s">
        <v>66</v>
      </c>
      <c r="AC720" s="1" t="s">
        <v>67</v>
      </c>
      <c r="AD720" s="1" t="s">
        <v>165</v>
      </c>
      <c r="AE720" s="1" t="s">
        <v>69</v>
      </c>
      <c r="AG720" s="1">
        <v>8740470</v>
      </c>
    </row>
    <row r="721" spans="3:33" s="1" customFormat="1" x14ac:dyDescent="0.25">
      <c r="C721" s="1" t="s">
        <v>4322</v>
      </c>
      <c r="D721" s="1" t="s">
        <v>4323</v>
      </c>
      <c r="E721" s="1" t="s">
        <v>1696</v>
      </c>
      <c r="F721" s="13" t="s">
        <v>6952</v>
      </c>
      <c r="G721" s="1" t="s">
        <v>1697</v>
      </c>
      <c r="H721" s="1" t="s">
        <v>61</v>
      </c>
      <c r="I721" s="1">
        <v>528</v>
      </c>
      <c r="J721" s="1" t="s">
        <v>46</v>
      </c>
      <c r="M721" s="1" t="s">
        <v>161</v>
      </c>
      <c r="N721" s="1" t="s">
        <v>48</v>
      </c>
      <c r="O721" s="9">
        <v>6</v>
      </c>
      <c r="P721" s="1">
        <f>ROUNDUP(1340*(1-$F$3),2)</f>
        <v>1340</v>
      </c>
      <c r="Q721" s="1" t="s">
        <v>49</v>
      </c>
      <c r="R721" s="1" t="s">
        <v>4324</v>
      </c>
      <c r="S721" s="1" t="s">
        <v>4325</v>
      </c>
      <c r="T721" s="9">
        <v>22</v>
      </c>
      <c r="U721" s="1">
        <f>ROUNDUP(1098.36*(1-$F$3),2)</f>
        <v>1098.3599999999999</v>
      </c>
      <c r="V721" s="1">
        <v>629</v>
      </c>
      <c r="Y721" s="1" t="s">
        <v>1700</v>
      </c>
      <c r="Z721" s="1" t="s">
        <v>76</v>
      </c>
      <c r="AA721" s="12">
        <v>44962</v>
      </c>
      <c r="AB721" s="1" t="s">
        <v>66</v>
      </c>
      <c r="AC721" s="1" t="s">
        <v>120</v>
      </c>
      <c r="AD721" s="1" t="s">
        <v>121</v>
      </c>
      <c r="AE721" s="1" t="s">
        <v>69</v>
      </c>
      <c r="AG721" s="1">
        <v>10777900</v>
      </c>
    </row>
    <row r="722" spans="3:33" s="1" customFormat="1" x14ac:dyDescent="0.25">
      <c r="C722" s="1" t="s">
        <v>4326</v>
      </c>
      <c r="D722" s="1" t="s">
        <v>4327</v>
      </c>
      <c r="E722" s="1" t="s">
        <v>4328</v>
      </c>
      <c r="F722" s="13" t="s">
        <v>6952</v>
      </c>
      <c r="G722" s="1" t="s">
        <v>4329</v>
      </c>
      <c r="H722" s="1" t="s">
        <v>61</v>
      </c>
      <c r="I722" s="1">
        <v>311</v>
      </c>
      <c r="J722" s="1" t="s">
        <v>46</v>
      </c>
      <c r="K722" s="1" t="s">
        <v>1566</v>
      </c>
      <c r="M722" s="1" t="s">
        <v>1061</v>
      </c>
      <c r="N722" s="1" t="s">
        <v>139</v>
      </c>
      <c r="O722" s="9">
        <v>12</v>
      </c>
      <c r="P722" s="1">
        <f>ROUNDUP(850*(1-$F$3),2)</f>
        <v>850</v>
      </c>
      <c r="Q722" s="1" t="s">
        <v>49</v>
      </c>
      <c r="R722" s="1" t="s">
        <v>4330</v>
      </c>
      <c r="S722" s="1" t="s">
        <v>4331</v>
      </c>
      <c r="T722" s="9">
        <v>10</v>
      </c>
      <c r="U722" s="1">
        <f>ROUNDUP(772.73*(1-$F$3),2)</f>
        <v>772.73</v>
      </c>
      <c r="V722" s="1">
        <v>338</v>
      </c>
      <c r="Y722" s="1" t="s">
        <v>4332</v>
      </c>
      <c r="Z722" s="1" t="s">
        <v>53</v>
      </c>
      <c r="AA722" s="12">
        <v>43607</v>
      </c>
      <c r="AB722" s="1" t="s">
        <v>66</v>
      </c>
      <c r="AC722" s="1" t="s">
        <v>77</v>
      </c>
      <c r="AD722" s="1" t="s">
        <v>78</v>
      </c>
      <c r="AE722" s="1" t="s">
        <v>69</v>
      </c>
      <c r="AG722" s="1">
        <v>9053190</v>
      </c>
    </row>
    <row r="723" spans="3:33" s="1" customFormat="1" x14ac:dyDescent="0.25">
      <c r="C723" s="1" t="s">
        <v>4333</v>
      </c>
      <c r="D723" s="1" t="s">
        <v>4334</v>
      </c>
      <c r="E723" s="1" t="s">
        <v>4335</v>
      </c>
      <c r="F723" s="13" t="s">
        <v>6952</v>
      </c>
      <c r="G723" s="1" t="s">
        <v>4336</v>
      </c>
      <c r="H723" s="1" t="s">
        <v>61</v>
      </c>
      <c r="I723" s="1">
        <v>272</v>
      </c>
      <c r="J723" s="1" t="s">
        <v>46</v>
      </c>
      <c r="M723" s="1" t="s">
        <v>1061</v>
      </c>
      <c r="N723" s="1" t="s">
        <v>48</v>
      </c>
      <c r="O723" s="9">
        <v>12</v>
      </c>
      <c r="P723" s="1">
        <f>ROUNDUP(980*(1-$F$3),2)</f>
        <v>980</v>
      </c>
      <c r="Q723" s="1" t="s">
        <v>49</v>
      </c>
      <c r="R723" s="1" t="s">
        <v>4337</v>
      </c>
      <c r="S723" s="1" t="s">
        <v>4338</v>
      </c>
      <c r="T723" s="9">
        <v>10</v>
      </c>
      <c r="U723" s="1">
        <f>ROUNDUP(890.91*(1-$F$3),2)</f>
        <v>890.91</v>
      </c>
      <c r="V723" s="1">
        <v>402</v>
      </c>
      <c r="Y723" s="1" t="s">
        <v>4334</v>
      </c>
      <c r="Z723" s="1" t="s">
        <v>53</v>
      </c>
      <c r="AA723" s="12">
        <v>42290</v>
      </c>
      <c r="AB723" s="1" t="s">
        <v>66</v>
      </c>
      <c r="AC723" s="1" t="s">
        <v>143</v>
      </c>
      <c r="AD723" s="1" t="s">
        <v>847</v>
      </c>
      <c r="AE723" s="1" t="s">
        <v>69</v>
      </c>
      <c r="AG723" s="1">
        <v>7228410</v>
      </c>
    </row>
    <row r="724" spans="3:33" s="1" customFormat="1" x14ac:dyDescent="0.25">
      <c r="C724" s="1" t="s">
        <v>4339</v>
      </c>
      <c r="D724" s="1" t="s">
        <v>4340</v>
      </c>
      <c r="E724" s="1" t="s">
        <v>4341</v>
      </c>
      <c r="F724" s="13" t="s">
        <v>6952</v>
      </c>
      <c r="G724" s="1" t="s">
        <v>4342</v>
      </c>
      <c r="H724" s="1" t="s">
        <v>61</v>
      </c>
      <c r="I724" s="1">
        <v>288</v>
      </c>
      <c r="J724" s="1" t="s">
        <v>46</v>
      </c>
      <c r="M724" s="1" t="s">
        <v>1061</v>
      </c>
      <c r="N724" s="1" t="s">
        <v>48</v>
      </c>
      <c r="O724" s="9">
        <v>10</v>
      </c>
      <c r="P724" s="1">
        <f>ROUNDUP(1080*(1-$F$3),2)</f>
        <v>1080</v>
      </c>
      <c r="Q724" s="1" t="s">
        <v>49</v>
      </c>
      <c r="R724" s="1" t="s">
        <v>4343</v>
      </c>
      <c r="S724" s="1" t="s">
        <v>4344</v>
      </c>
      <c r="T724" s="9">
        <v>10</v>
      </c>
      <c r="U724" s="1">
        <f>ROUNDUP(981.82*(1-$F$3),2)</f>
        <v>981.82</v>
      </c>
      <c r="V724" s="1">
        <v>561</v>
      </c>
      <c r="Y724" s="1" t="s">
        <v>4345</v>
      </c>
      <c r="Z724" s="1" t="s">
        <v>53</v>
      </c>
      <c r="AA724" s="12">
        <v>43179</v>
      </c>
      <c r="AB724" s="1" t="s">
        <v>234</v>
      </c>
      <c r="AC724" s="1" t="s">
        <v>235</v>
      </c>
      <c r="AD724" s="1" t="s">
        <v>350</v>
      </c>
      <c r="AE724" s="1" t="s">
        <v>69</v>
      </c>
      <c r="AG724" s="1">
        <v>8496600</v>
      </c>
    </row>
    <row r="725" spans="3:33" s="1" customFormat="1" x14ac:dyDescent="0.25">
      <c r="C725" s="1" t="s">
        <v>4346</v>
      </c>
      <c r="D725" s="1" t="s">
        <v>4347</v>
      </c>
      <c r="E725" s="1" t="s">
        <v>4348</v>
      </c>
      <c r="F725" s="13" t="s">
        <v>6952</v>
      </c>
      <c r="G725" s="1" t="s">
        <v>4349</v>
      </c>
      <c r="H725" s="1" t="s">
        <v>160</v>
      </c>
      <c r="I725" s="1">
        <v>232</v>
      </c>
      <c r="J725" s="1" t="s">
        <v>46</v>
      </c>
      <c r="M725" s="1" t="s">
        <v>2310</v>
      </c>
      <c r="N725" s="1" t="s">
        <v>48</v>
      </c>
      <c r="O725" s="9">
        <v>16</v>
      </c>
      <c r="P725" s="1">
        <f>ROUNDUP(790*(1-$F$3),2)</f>
        <v>790</v>
      </c>
      <c r="Q725" s="1" t="s">
        <v>49</v>
      </c>
      <c r="R725" s="1" t="s">
        <v>4350</v>
      </c>
      <c r="S725" s="1" t="s">
        <v>4351</v>
      </c>
      <c r="T725" s="9">
        <v>10</v>
      </c>
      <c r="U725" s="1">
        <f>ROUNDUP(718.18*(1-$F$3),2)</f>
        <v>718.18</v>
      </c>
      <c r="V725" s="1">
        <v>301</v>
      </c>
      <c r="Y725" s="1" t="s">
        <v>4352</v>
      </c>
      <c r="Z725" s="1" t="s">
        <v>53</v>
      </c>
      <c r="AA725" s="12">
        <v>43203</v>
      </c>
      <c r="AB725" s="1" t="s">
        <v>66</v>
      </c>
      <c r="AC725" s="1" t="s">
        <v>77</v>
      </c>
      <c r="AD725" s="1" t="s">
        <v>78</v>
      </c>
      <c r="AE725" s="1" t="s">
        <v>69</v>
      </c>
      <c r="AG725" s="1">
        <v>8601040</v>
      </c>
    </row>
    <row r="726" spans="3:33" s="1" customFormat="1" x14ac:dyDescent="0.25">
      <c r="C726" s="1" t="s">
        <v>4353</v>
      </c>
      <c r="D726" s="1" t="s">
        <v>4354</v>
      </c>
      <c r="E726" s="1" t="s">
        <v>925</v>
      </c>
      <c r="F726" s="13" t="s">
        <v>6952</v>
      </c>
      <c r="G726" s="1" t="s">
        <v>926</v>
      </c>
      <c r="H726" s="1" t="s">
        <v>160</v>
      </c>
      <c r="I726" s="1">
        <v>480</v>
      </c>
      <c r="J726" s="1" t="s">
        <v>46</v>
      </c>
      <c r="M726" s="1" t="s">
        <v>47</v>
      </c>
      <c r="N726" s="1" t="s">
        <v>48</v>
      </c>
      <c r="O726" s="9">
        <v>4</v>
      </c>
      <c r="P726" s="1">
        <f>ROUNDUP(1350*(1-$F$3),2)</f>
        <v>1350</v>
      </c>
      <c r="Q726" s="1" t="s">
        <v>49</v>
      </c>
      <c r="R726" s="1" t="s">
        <v>4355</v>
      </c>
      <c r="S726" s="1" t="s">
        <v>4356</v>
      </c>
      <c r="T726" s="9">
        <v>10</v>
      </c>
      <c r="U726" s="1">
        <f>ROUNDUP(1227.27*(1-$F$3),2)</f>
        <v>1227.27</v>
      </c>
      <c r="V726" s="1">
        <v>497</v>
      </c>
      <c r="Y726" s="1" t="s">
        <v>929</v>
      </c>
      <c r="Z726" s="1" t="s">
        <v>76</v>
      </c>
      <c r="AA726" s="12">
        <v>44367</v>
      </c>
      <c r="AB726" s="1" t="s">
        <v>334</v>
      </c>
      <c r="AC726" s="1" t="s">
        <v>627</v>
      </c>
      <c r="AD726" s="1" t="s">
        <v>930</v>
      </c>
      <c r="AE726" s="1" t="s">
        <v>69</v>
      </c>
      <c r="AG726" s="1">
        <v>9709760</v>
      </c>
    </row>
    <row r="727" spans="3:33" s="1" customFormat="1" x14ac:dyDescent="0.25">
      <c r="C727" s="1" t="s">
        <v>4357</v>
      </c>
      <c r="D727" s="1" t="s">
        <v>4354</v>
      </c>
      <c r="E727" s="1" t="s">
        <v>4358</v>
      </c>
      <c r="F727" s="13" t="s">
        <v>6952</v>
      </c>
      <c r="G727" s="1" t="s">
        <v>4359</v>
      </c>
      <c r="H727" s="1" t="s">
        <v>61</v>
      </c>
      <c r="I727" s="1">
        <v>384</v>
      </c>
      <c r="J727" s="1" t="s">
        <v>46</v>
      </c>
      <c r="M727" s="1" t="s">
        <v>1061</v>
      </c>
      <c r="N727" s="1" t="s">
        <v>48</v>
      </c>
      <c r="O727" s="9">
        <v>12</v>
      </c>
      <c r="P727" s="1">
        <f>ROUNDUP(1170*(1-$F$3),2)</f>
        <v>1170</v>
      </c>
      <c r="Q727" s="1" t="s">
        <v>49</v>
      </c>
      <c r="R727" s="1" t="s">
        <v>4360</v>
      </c>
      <c r="S727" s="1" t="s">
        <v>4361</v>
      </c>
      <c r="T727" s="9">
        <v>10</v>
      </c>
      <c r="U727" s="1">
        <f>ROUNDUP(1063.64*(1-$F$3),2)</f>
        <v>1063.6400000000001</v>
      </c>
      <c r="V727" s="1">
        <v>459</v>
      </c>
      <c r="Y727" s="1" t="s">
        <v>4362</v>
      </c>
      <c r="Z727" s="1" t="s">
        <v>53</v>
      </c>
      <c r="AA727" s="12">
        <v>43781</v>
      </c>
      <c r="AB727" s="1" t="s">
        <v>95</v>
      </c>
      <c r="AC727" s="1" t="s">
        <v>3213</v>
      </c>
      <c r="AD727" s="1" t="s">
        <v>4363</v>
      </c>
      <c r="AE727" s="1" t="s">
        <v>69</v>
      </c>
      <c r="AG727" s="1">
        <v>9182030</v>
      </c>
    </row>
    <row r="728" spans="3:33" s="1" customFormat="1" x14ac:dyDescent="0.25">
      <c r="C728" s="1" t="s">
        <v>4364</v>
      </c>
      <c r="D728" s="1" t="s">
        <v>4365</v>
      </c>
      <c r="E728" s="1" t="s">
        <v>4366</v>
      </c>
      <c r="F728" s="13" t="s">
        <v>6952</v>
      </c>
      <c r="G728" s="1" t="s">
        <v>4367</v>
      </c>
      <c r="H728" s="1" t="s">
        <v>61</v>
      </c>
      <c r="I728" s="1">
        <v>244</v>
      </c>
      <c r="J728" s="1" t="s">
        <v>46</v>
      </c>
      <c r="M728" s="1" t="s">
        <v>835</v>
      </c>
      <c r="N728" s="1" t="s">
        <v>48</v>
      </c>
      <c r="O728" s="9">
        <v>12</v>
      </c>
      <c r="P728" s="1">
        <f>ROUNDUP(1300*(1-$F$3),2)</f>
        <v>1300</v>
      </c>
      <c r="Q728" s="1" t="s">
        <v>49</v>
      </c>
      <c r="R728" s="1" t="s">
        <v>4368</v>
      </c>
      <c r="S728" s="1" t="s">
        <v>4369</v>
      </c>
      <c r="T728" s="9">
        <v>10</v>
      </c>
      <c r="U728" s="1">
        <f>ROUNDUP(1181.82*(1-$F$3),2)</f>
        <v>1181.82</v>
      </c>
      <c r="V728" s="1">
        <v>357</v>
      </c>
      <c r="Y728" s="1" t="s">
        <v>4370</v>
      </c>
      <c r="Z728" s="1" t="s">
        <v>128</v>
      </c>
      <c r="AA728" s="12">
        <v>44132</v>
      </c>
      <c r="AB728" s="1" t="s">
        <v>86</v>
      </c>
      <c r="AC728" s="1" t="s">
        <v>1570</v>
      </c>
      <c r="AD728" s="1" t="s">
        <v>1571</v>
      </c>
      <c r="AE728" s="1" t="s">
        <v>49</v>
      </c>
      <c r="AG728" s="1">
        <v>9552350</v>
      </c>
    </row>
    <row r="729" spans="3:33" s="1" customFormat="1" x14ac:dyDescent="0.25">
      <c r="C729" s="1" t="s">
        <v>4371</v>
      </c>
      <c r="D729" s="1" t="s">
        <v>4372</v>
      </c>
      <c r="E729" s="1" t="s">
        <v>932</v>
      </c>
      <c r="F729" s="13" t="s">
        <v>6952</v>
      </c>
      <c r="G729" s="1" t="s">
        <v>843</v>
      </c>
      <c r="H729" s="1" t="s">
        <v>160</v>
      </c>
      <c r="I729" s="1">
        <v>320</v>
      </c>
      <c r="J729" s="1" t="s">
        <v>46</v>
      </c>
      <c r="M729" s="1" t="s">
        <v>169</v>
      </c>
      <c r="N729" s="1" t="s">
        <v>139</v>
      </c>
      <c r="O729" s="9">
        <v>8</v>
      </c>
      <c r="P729" s="1">
        <f>ROUNDUP(920*(1-$F$3),2)</f>
        <v>920</v>
      </c>
      <c r="Q729" s="1" t="s">
        <v>49</v>
      </c>
      <c r="R729" s="1" t="s">
        <v>4373</v>
      </c>
      <c r="S729" s="1" t="s">
        <v>4374</v>
      </c>
      <c r="T729" s="9">
        <v>10</v>
      </c>
      <c r="U729" s="1">
        <f>ROUNDUP(836.36*(1-$F$3),2)</f>
        <v>836.36</v>
      </c>
      <c r="V729" s="1">
        <v>251</v>
      </c>
      <c r="Y729" s="1" t="s">
        <v>935</v>
      </c>
      <c r="Z729" s="1" t="s">
        <v>53</v>
      </c>
      <c r="AA729" s="12">
        <v>44613</v>
      </c>
      <c r="AB729" s="1" t="s">
        <v>95</v>
      </c>
      <c r="AC729" s="1" t="s">
        <v>112</v>
      </c>
      <c r="AD729" s="1" t="s">
        <v>243</v>
      </c>
      <c r="AE729" s="1" t="s">
        <v>69</v>
      </c>
      <c r="AG729" s="1">
        <v>10162170</v>
      </c>
    </row>
    <row r="730" spans="3:33" s="1" customFormat="1" x14ac:dyDescent="0.25">
      <c r="C730" s="1" t="s">
        <v>4375</v>
      </c>
      <c r="D730" s="1" t="s">
        <v>4372</v>
      </c>
      <c r="E730" s="1" t="s">
        <v>4376</v>
      </c>
      <c r="F730" s="13" t="s">
        <v>6952</v>
      </c>
      <c r="G730" s="1" t="s">
        <v>503</v>
      </c>
      <c r="H730" s="1" t="s">
        <v>160</v>
      </c>
      <c r="I730" s="1">
        <v>176</v>
      </c>
      <c r="J730" s="1" t="s">
        <v>46</v>
      </c>
      <c r="M730" s="1" t="s">
        <v>169</v>
      </c>
      <c r="N730" s="1" t="s">
        <v>139</v>
      </c>
      <c r="O730" s="9">
        <v>12</v>
      </c>
      <c r="P730" s="1">
        <f>ROUNDUP(640*(1-$F$3),2)</f>
        <v>640</v>
      </c>
      <c r="Q730" s="1" t="s">
        <v>49</v>
      </c>
      <c r="R730" s="1" t="s">
        <v>4377</v>
      </c>
      <c r="S730" s="1" t="s">
        <v>4378</v>
      </c>
      <c r="T730" s="9">
        <v>10</v>
      </c>
      <c r="U730" s="1">
        <f>ROUNDUP(581.82*(1-$F$3),2)</f>
        <v>581.82000000000005</v>
      </c>
      <c r="V730" s="1">
        <v>191</v>
      </c>
      <c r="Y730" s="1" t="s">
        <v>4379</v>
      </c>
      <c r="Z730" s="1" t="s">
        <v>128</v>
      </c>
      <c r="AA730" s="12">
        <v>44785</v>
      </c>
      <c r="AB730" s="1" t="s">
        <v>286</v>
      </c>
      <c r="AC730" s="1" t="s">
        <v>320</v>
      </c>
      <c r="AD730" s="1" t="s">
        <v>970</v>
      </c>
      <c r="AE730" s="1" t="s">
        <v>69</v>
      </c>
      <c r="AG730" s="1">
        <v>10473720</v>
      </c>
    </row>
    <row r="731" spans="3:33" s="1" customFormat="1" x14ac:dyDescent="0.25">
      <c r="C731" s="1" t="s">
        <v>4380</v>
      </c>
      <c r="D731" s="1" t="s">
        <v>4372</v>
      </c>
      <c r="E731" s="1" t="s">
        <v>1611</v>
      </c>
      <c r="F731" s="13" t="s">
        <v>6952</v>
      </c>
      <c r="G731" s="1" t="s">
        <v>1612</v>
      </c>
      <c r="H731" s="1" t="s">
        <v>160</v>
      </c>
      <c r="I731" s="1">
        <v>392</v>
      </c>
      <c r="J731" s="1" t="s">
        <v>46</v>
      </c>
      <c r="M731" s="1" t="s">
        <v>47</v>
      </c>
      <c r="N731" s="1" t="s">
        <v>139</v>
      </c>
      <c r="O731" s="9">
        <v>5</v>
      </c>
      <c r="P731" s="1">
        <f>ROUNDUP(1030*(1-$F$3),2)</f>
        <v>1030</v>
      </c>
      <c r="Q731" s="1" t="s">
        <v>49</v>
      </c>
      <c r="R731" s="1" t="s">
        <v>4381</v>
      </c>
      <c r="S731" s="1" t="s">
        <v>4382</v>
      </c>
      <c r="T731" s="9">
        <v>10</v>
      </c>
      <c r="U731" s="1">
        <f>ROUNDUP(936.36*(1-$F$3),2)</f>
        <v>936.36</v>
      </c>
      <c r="V731" s="1">
        <v>345</v>
      </c>
      <c r="Y731" s="1" t="s">
        <v>1615</v>
      </c>
      <c r="Z731" s="1" t="s">
        <v>128</v>
      </c>
      <c r="AA731" s="12">
        <v>44613</v>
      </c>
      <c r="AB731" s="1" t="s">
        <v>334</v>
      </c>
      <c r="AC731" s="1" t="s">
        <v>1616</v>
      </c>
      <c r="AD731" s="1" t="s">
        <v>1617</v>
      </c>
      <c r="AE731" s="1" t="s">
        <v>69</v>
      </c>
      <c r="AG731" s="1">
        <v>10233700</v>
      </c>
    </row>
    <row r="732" spans="3:33" s="1" customFormat="1" x14ac:dyDescent="0.25">
      <c r="C732" s="1" t="s">
        <v>4383</v>
      </c>
      <c r="D732" s="1" t="s">
        <v>4372</v>
      </c>
      <c r="E732" s="1" t="s">
        <v>4384</v>
      </c>
      <c r="F732" s="13" t="s">
        <v>6952</v>
      </c>
      <c r="G732" s="1" t="s">
        <v>4385</v>
      </c>
      <c r="H732" s="1" t="s">
        <v>160</v>
      </c>
      <c r="I732" s="1">
        <v>256</v>
      </c>
      <c r="J732" s="1" t="s">
        <v>46</v>
      </c>
      <c r="M732" s="1" t="s">
        <v>176</v>
      </c>
      <c r="N732" s="1" t="s">
        <v>139</v>
      </c>
      <c r="O732" s="9">
        <v>20</v>
      </c>
      <c r="P732" s="1">
        <f>ROUNDUP(857.3*(1-$F$3),2)</f>
        <v>857.3</v>
      </c>
      <c r="Q732" s="1" t="s">
        <v>49</v>
      </c>
      <c r="R732" s="1" t="s">
        <v>4386</v>
      </c>
      <c r="S732" s="1" t="s">
        <v>4387</v>
      </c>
      <c r="T732" s="9">
        <v>10</v>
      </c>
      <c r="U732" s="1">
        <f>ROUNDUP(779.36*(1-$F$3),2)</f>
        <v>779.36</v>
      </c>
      <c r="V732" s="1">
        <v>227</v>
      </c>
      <c r="Y732" s="1" t="s">
        <v>4388</v>
      </c>
      <c r="Z732" s="1" t="s">
        <v>128</v>
      </c>
      <c r="AA732" s="12">
        <v>44893</v>
      </c>
      <c r="AB732" s="1" t="s">
        <v>95</v>
      </c>
      <c r="AC732" s="1" t="s">
        <v>112</v>
      </c>
      <c r="AD732" s="1" t="s">
        <v>243</v>
      </c>
      <c r="AE732" s="1" t="s">
        <v>69</v>
      </c>
      <c r="AG732" s="1">
        <v>10726090</v>
      </c>
    </row>
    <row r="733" spans="3:33" s="1" customFormat="1" x14ac:dyDescent="0.25">
      <c r="C733" s="1" t="s">
        <v>4389</v>
      </c>
      <c r="D733" s="1" t="s">
        <v>4372</v>
      </c>
      <c r="E733" s="1" t="s">
        <v>4390</v>
      </c>
      <c r="F733" s="13" t="s">
        <v>6952</v>
      </c>
      <c r="G733" s="1" t="s">
        <v>4391</v>
      </c>
      <c r="H733" s="1" t="s">
        <v>160</v>
      </c>
      <c r="I733" s="1">
        <v>416</v>
      </c>
      <c r="J733" s="1" t="s">
        <v>46</v>
      </c>
      <c r="M733" s="1" t="s">
        <v>62</v>
      </c>
      <c r="N733" s="1" t="s">
        <v>139</v>
      </c>
      <c r="O733" s="9">
        <v>8</v>
      </c>
      <c r="P733" s="1">
        <f>ROUNDUP(950*(1-$F$3),2)</f>
        <v>950</v>
      </c>
      <c r="Q733" s="1" t="s">
        <v>49</v>
      </c>
      <c r="R733" s="1" t="s">
        <v>4392</v>
      </c>
      <c r="S733" s="1" t="s">
        <v>4393</v>
      </c>
      <c r="T733" s="9">
        <v>10</v>
      </c>
      <c r="U733" s="1">
        <f>ROUNDUP(863.64*(1-$F$3),2)</f>
        <v>863.64</v>
      </c>
      <c r="V733" s="1">
        <v>326</v>
      </c>
      <c r="Y733" s="1" t="s">
        <v>4394</v>
      </c>
      <c r="Z733" s="1" t="s">
        <v>53</v>
      </c>
      <c r="AA733" s="12">
        <v>44613</v>
      </c>
      <c r="AB733" s="1" t="s">
        <v>95</v>
      </c>
      <c r="AC733" s="1" t="s">
        <v>112</v>
      </c>
      <c r="AD733" s="1" t="s">
        <v>536</v>
      </c>
      <c r="AE733" s="1" t="s">
        <v>69</v>
      </c>
      <c r="AG733" s="1">
        <v>10162150</v>
      </c>
    </row>
    <row r="734" spans="3:33" s="1" customFormat="1" x14ac:dyDescent="0.25">
      <c r="C734" s="1" t="s">
        <v>4395</v>
      </c>
      <c r="D734" s="1" t="s">
        <v>4396</v>
      </c>
      <c r="E734" s="1" t="s">
        <v>4397</v>
      </c>
      <c r="F734" s="13" t="s">
        <v>6952</v>
      </c>
      <c r="G734" s="1" t="s">
        <v>405</v>
      </c>
      <c r="H734" s="1" t="s">
        <v>524</v>
      </c>
      <c r="I734" s="1">
        <v>256</v>
      </c>
      <c r="J734" s="1" t="s">
        <v>46</v>
      </c>
      <c r="M734" s="1" t="s">
        <v>62</v>
      </c>
      <c r="N734" s="1" t="s">
        <v>48</v>
      </c>
      <c r="O734" s="9">
        <v>10</v>
      </c>
      <c r="P734" s="1">
        <f>ROUNDUP(990*(1-$F$3),2)</f>
        <v>990</v>
      </c>
      <c r="Q734" s="1" t="s">
        <v>49</v>
      </c>
      <c r="R734" s="1" t="s">
        <v>4398</v>
      </c>
      <c r="S734" s="1" t="s">
        <v>4399</v>
      </c>
      <c r="T734" s="9">
        <v>10</v>
      </c>
      <c r="U734" s="1">
        <f>ROUNDUP(900*(1-$F$3),2)</f>
        <v>900</v>
      </c>
      <c r="V734" s="1">
        <v>339</v>
      </c>
      <c r="Y734" s="1" t="s">
        <v>4400</v>
      </c>
      <c r="Z734" s="1" t="s">
        <v>711</v>
      </c>
      <c r="AA734" s="12">
        <v>43023</v>
      </c>
      <c r="AB734" s="1" t="s">
        <v>573</v>
      </c>
      <c r="AC734" s="1" t="s">
        <v>66</v>
      </c>
      <c r="AD734" s="1" t="s">
        <v>2738</v>
      </c>
      <c r="AE734" s="1" t="s">
        <v>69</v>
      </c>
      <c r="AG734" s="1">
        <v>8297310</v>
      </c>
    </row>
    <row r="735" spans="3:33" s="1" customFormat="1" x14ac:dyDescent="0.25">
      <c r="C735" s="1" t="s">
        <v>4401</v>
      </c>
      <c r="D735" s="1" t="s">
        <v>4396</v>
      </c>
      <c r="E735" s="1" t="s">
        <v>4402</v>
      </c>
      <c r="F735" s="13" t="s">
        <v>6952</v>
      </c>
      <c r="G735" s="1" t="s">
        <v>405</v>
      </c>
      <c r="H735" s="1" t="s">
        <v>61</v>
      </c>
      <c r="I735" s="1">
        <v>208</v>
      </c>
      <c r="J735" s="1" t="s">
        <v>46</v>
      </c>
      <c r="M735" s="1" t="s">
        <v>62</v>
      </c>
      <c r="N735" s="1" t="s">
        <v>48</v>
      </c>
      <c r="O735" s="9">
        <v>10</v>
      </c>
      <c r="P735" s="1">
        <f>ROUNDUP(990*(1-$F$3),2)</f>
        <v>990</v>
      </c>
      <c r="Q735" s="1" t="s">
        <v>49</v>
      </c>
      <c r="R735" s="1" t="s">
        <v>4403</v>
      </c>
      <c r="S735" s="1" t="s">
        <v>4404</v>
      </c>
      <c r="T735" s="9">
        <v>10</v>
      </c>
      <c r="U735" s="1">
        <f>ROUNDUP(900*(1-$F$3),2)</f>
        <v>900</v>
      </c>
      <c r="V735" s="1">
        <v>326</v>
      </c>
      <c r="Y735" s="1" t="s">
        <v>4405</v>
      </c>
      <c r="Z735" s="1" t="s">
        <v>128</v>
      </c>
      <c r="AA735" s="12">
        <v>43073</v>
      </c>
      <c r="AB735" s="1" t="s">
        <v>573</v>
      </c>
      <c r="AC735" s="1" t="s">
        <v>66</v>
      </c>
      <c r="AD735" s="1" t="s">
        <v>2738</v>
      </c>
      <c r="AE735" s="1" t="s">
        <v>69</v>
      </c>
      <c r="AG735" s="1">
        <v>8420360</v>
      </c>
    </row>
    <row r="736" spans="3:33" s="1" customFormat="1" x14ac:dyDescent="0.25">
      <c r="C736" s="1" t="s">
        <v>4406</v>
      </c>
      <c r="D736" s="1" t="s">
        <v>4407</v>
      </c>
      <c r="E736" s="1" t="s">
        <v>4408</v>
      </c>
      <c r="F736" s="13" t="s">
        <v>6952</v>
      </c>
      <c r="G736" s="1" t="s">
        <v>4409</v>
      </c>
      <c r="H736" s="1" t="s">
        <v>82</v>
      </c>
      <c r="I736" s="1">
        <v>16</v>
      </c>
      <c r="J736" s="1" t="s">
        <v>46</v>
      </c>
      <c r="M736" s="1" t="s">
        <v>1994</v>
      </c>
      <c r="N736" s="1" t="s">
        <v>139</v>
      </c>
      <c r="O736" s="9">
        <v>50</v>
      </c>
      <c r="P736" s="1">
        <f>ROUNDUP(368.7*(1-$F$3),2)</f>
        <v>368.7</v>
      </c>
      <c r="Q736" s="1" t="s">
        <v>49</v>
      </c>
      <c r="R736" s="1" t="s">
        <v>4410</v>
      </c>
      <c r="S736" s="1" t="s">
        <v>4411</v>
      </c>
      <c r="T736" s="9">
        <v>10</v>
      </c>
      <c r="U736" s="1">
        <f>ROUNDUP(335.18*(1-$F$3),2)</f>
        <v>335.18</v>
      </c>
      <c r="V736" s="1">
        <v>91</v>
      </c>
      <c r="W736" s="1" t="s">
        <v>4412</v>
      </c>
      <c r="X736" s="1" t="s">
        <v>4413</v>
      </c>
      <c r="Y736" s="1" t="s">
        <v>4414</v>
      </c>
      <c r="AA736" s="12">
        <v>41572</v>
      </c>
      <c r="AB736" s="1" t="s">
        <v>459</v>
      </c>
      <c r="AC736" s="1" t="s">
        <v>4415</v>
      </c>
      <c r="AD736" s="1" t="s">
        <v>4416</v>
      </c>
      <c r="AE736" s="1" t="s">
        <v>49</v>
      </c>
      <c r="AG736" s="1">
        <v>5821600</v>
      </c>
    </row>
    <row r="737" spans="3:33" s="1" customFormat="1" x14ac:dyDescent="0.25">
      <c r="C737" s="1" t="s">
        <v>4417</v>
      </c>
      <c r="D737" s="1" t="s">
        <v>4418</v>
      </c>
      <c r="E737" s="1" t="s">
        <v>4419</v>
      </c>
      <c r="F737" s="13" t="s">
        <v>6952</v>
      </c>
      <c r="G737" s="1" t="s">
        <v>4420</v>
      </c>
      <c r="H737" s="1" t="s">
        <v>61</v>
      </c>
      <c r="I737" s="1">
        <v>328</v>
      </c>
      <c r="J737" s="1" t="s">
        <v>46</v>
      </c>
      <c r="M737" s="1" t="s">
        <v>62</v>
      </c>
      <c r="N737" s="1" t="s">
        <v>48</v>
      </c>
      <c r="O737" s="9">
        <v>10</v>
      </c>
      <c r="P737" s="1">
        <f>ROUNDUP(1010*(1-$F$3),2)</f>
        <v>1010</v>
      </c>
      <c r="Q737" s="1" t="s">
        <v>49</v>
      </c>
      <c r="R737" s="1" t="s">
        <v>4421</v>
      </c>
      <c r="S737" s="1" t="s">
        <v>4422</v>
      </c>
      <c r="T737" s="9">
        <v>10</v>
      </c>
      <c r="U737" s="1">
        <f>ROUNDUP(918.18*(1-$F$3),2)</f>
        <v>918.18</v>
      </c>
      <c r="V737" s="1">
        <v>426</v>
      </c>
      <c r="Y737" s="1" t="s">
        <v>4423</v>
      </c>
      <c r="Z737" s="1" t="s">
        <v>53</v>
      </c>
      <c r="AA737" s="12">
        <v>45959</v>
      </c>
      <c r="AB737" s="1" t="s">
        <v>219</v>
      </c>
      <c r="AC737" s="1" t="s">
        <v>1578</v>
      </c>
      <c r="AD737" s="1" t="s">
        <v>1579</v>
      </c>
      <c r="AE737" s="1" t="s">
        <v>69</v>
      </c>
      <c r="AG737" s="1">
        <v>11926760</v>
      </c>
    </row>
    <row r="738" spans="3:33" s="1" customFormat="1" x14ac:dyDescent="0.25">
      <c r="C738" s="1" t="s">
        <v>4424</v>
      </c>
      <c r="D738" s="1" t="s">
        <v>4418</v>
      </c>
      <c r="E738" s="1" t="s">
        <v>1573</v>
      </c>
      <c r="F738" s="13" t="s">
        <v>6952</v>
      </c>
      <c r="G738" s="1" t="s">
        <v>1574</v>
      </c>
      <c r="H738" s="1" t="s">
        <v>61</v>
      </c>
      <c r="I738" s="1">
        <v>528</v>
      </c>
      <c r="J738" s="1" t="s">
        <v>46</v>
      </c>
      <c r="M738" s="1" t="s">
        <v>47</v>
      </c>
      <c r="N738" s="1" t="s">
        <v>48</v>
      </c>
      <c r="O738" s="9">
        <v>6</v>
      </c>
      <c r="P738" s="1">
        <f>ROUNDUP(1420*(1-$F$3),2)</f>
        <v>1420</v>
      </c>
      <c r="Q738" s="1" t="s">
        <v>49</v>
      </c>
      <c r="R738" s="1" t="s">
        <v>4425</v>
      </c>
      <c r="S738" s="1" t="s">
        <v>4426</v>
      </c>
      <c r="T738" s="9">
        <v>10</v>
      </c>
      <c r="U738" s="1">
        <f>ROUNDUP(1290.91*(1-$F$3),2)</f>
        <v>1290.9100000000001</v>
      </c>
      <c r="V738" s="1">
        <v>565</v>
      </c>
      <c r="Y738" s="1" t="s">
        <v>1577</v>
      </c>
      <c r="Z738" s="1" t="s">
        <v>53</v>
      </c>
      <c r="AA738" s="12">
        <v>44858</v>
      </c>
      <c r="AB738" s="1" t="s">
        <v>219</v>
      </c>
      <c r="AC738" s="1" t="s">
        <v>1578</v>
      </c>
      <c r="AD738" s="1" t="s">
        <v>1579</v>
      </c>
      <c r="AE738" s="1" t="s">
        <v>69</v>
      </c>
      <c r="AG738" s="1">
        <v>10664900</v>
      </c>
    </row>
    <row r="739" spans="3:33" s="1" customFormat="1" x14ac:dyDescent="0.25">
      <c r="C739" s="1" t="s">
        <v>4427</v>
      </c>
      <c r="D739" s="1" t="s">
        <v>4418</v>
      </c>
      <c r="E739" s="1" t="s">
        <v>4428</v>
      </c>
      <c r="F739" s="13" t="s">
        <v>6952</v>
      </c>
      <c r="G739" s="1" t="s">
        <v>4429</v>
      </c>
      <c r="H739" s="1" t="s">
        <v>61</v>
      </c>
      <c r="I739" s="1">
        <v>400</v>
      </c>
      <c r="J739" s="1" t="s">
        <v>46</v>
      </c>
      <c r="M739" s="1" t="s">
        <v>47</v>
      </c>
      <c r="N739" s="1" t="s">
        <v>48</v>
      </c>
      <c r="O739" s="9">
        <v>6</v>
      </c>
      <c r="P739" s="1">
        <f>ROUNDUP(940*(1-$F$3),2)</f>
        <v>940</v>
      </c>
      <c r="Q739" s="1" t="s">
        <v>49</v>
      </c>
      <c r="R739" s="1" t="s">
        <v>4430</v>
      </c>
      <c r="S739" s="1" t="s">
        <v>4431</v>
      </c>
      <c r="T739" s="9">
        <v>10</v>
      </c>
      <c r="U739" s="1">
        <f>ROUNDUP(854.55*(1-$F$3),2)</f>
        <v>854.55</v>
      </c>
      <c r="V739" s="1">
        <v>437</v>
      </c>
      <c r="Y739" s="1" t="s">
        <v>4432</v>
      </c>
      <c r="Z739" s="1" t="s">
        <v>53</v>
      </c>
      <c r="AA739" s="12">
        <v>45853</v>
      </c>
      <c r="AB739" s="1" t="s">
        <v>95</v>
      </c>
      <c r="AC739" s="1" t="s">
        <v>112</v>
      </c>
      <c r="AD739" s="1" t="s">
        <v>243</v>
      </c>
      <c r="AE739" s="1" t="s">
        <v>69</v>
      </c>
      <c r="AG739" s="1">
        <v>11791350</v>
      </c>
    </row>
    <row r="740" spans="3:33" s="1" customFormat="1" x14ac:dyDescent="0.25">
      <c r="C740" s="1" t="s">
        <v>4433</v>
      </c>
      <c r="D740" s="1" t="s">
        <v>4418</v>
      </c>
      <c r="E740" s="1" t="s">
        <v>4434</v>
      </c>
      <c r="F740" s="13" t="s">
        <v>6952</v>
      </c>
      <c r="G740" s="1" t="s">
        <v>532</v>
      </c>
      <c r="H740" s="1" t="s">
        <v>61</v>
      </c>
      <c r="I740" s="1">
        <v>176</v>
      </c>
      <c r="J740" s="1" t="s">
        <v>46</v>
      </c>
      <c r="M740" s="1" t="s">
        <v>62</v>
      </c>
      <c r="N740" s="1" t="s">
        <v>48</v>
      </c>
      <c r="O740" s="9">
        <v>20</v>
      </c>
      <c r="P740" s="1">
        <f>ROUNDUP(890*(1-$F$3),2)</f>
        <v>890</v>
      </c>
      <c r="Q740" s="1" t="s">
        <v>49</v>
      </c>
      <c r="R740" s="1" t="s">
        <v>4435</v>
      </c>
      <c r="S740" s="1" t="s">
        <v>4436</v>
      </c>
      <c r="T740" s="9">
        <v>10</v>
      </c>
      <c r="U740" s="1">
        <f>ROUNDUP(809.09*(1-$F$3),2)</f>
        <v>809.09</v>
      </c>
      <c r="V740" s="1">
        <v>306</v>
      </c>
      <c r="Y740" s="1" t="s">
        <v>4437</v>
      </c>
      <c r="Z740" s="1" t="s">
        <v>53</v>
      </c>
      <c r="AA740" s="12">
        <v>45938</v>
      </c>
      <c r="AB740" s="1" t="s">
        <v>95</v>
      </c>
      <c r="AC740" s="1" t="s">
        <v>112</v>
      </c>
      <c r="AD740" s="1" t="s">
        <v>536</v>
      </c>
      <c r="AE740" s="1" t="s">
        <v>69</v>
      </c>
      <c r="AG740" s="1">
        <v>11903490</v>
      </c>
    </row>
    <row r="741" spans="3:33" s="1" customFormat="1" x14ac:dyDescent="0.25">
      <c r="C741" s="1" t="s">
        <v>4438</v>
      </c>
      <c r="D741" s="1" t="s">
        <v>4418</v>
      </c>
      <c r="E741" s="1" t="s">
        <v>4439</v>
      </c>
      <c r="F741" s="13" t="s">
        <v>6952</v>
      </c>
      <c r="G741" s="1" t="s">
        <v>4440</v>
      </c>
      <c r="H741" s="1" t="s">
        <v>637</v>
      </c>
      <c r="I741" s="1">
        <v>592</v>
      </c>
      <c r="J741" s="1" t="s">
        <v>46</v>
      </c>
      <c r="M741" s="1" t="s">
        <v>169</v>
      </c>
      <c r="N741" s="1" t="s">
        <v>48</v>
      </c>
      <c r="O741" s="9">
        <v>3</v>
      </c>
      <c r="P741" s="1">
        <f>ROUNDUP(2840*(1-$F$3),2)</f>
        <v>2840</v>
      </c>
      <c r="Q741" s="1" t="s">
        <v>49</v>
      </c>
      <c r="R741" s="1" t="s">
        <v>4441</v>
      </c>
      <c r="S741" s="1" t="s">
        <v>4442</v>
      </c>
      <c r="T741" s="9">
        <v>10</v>
      </c>
      <c r="U741" s="1">
        <f>ROUNDUP(2581.82*(1-$F$3),2)</f>
        <v>2581.8200000000002</v>
      </c>
      <c r="V741" s="1">
        <v>1238</v>
      </c>
      <c r="Y741" s="1" t="s">
        <v>4443</v>
      </c>
      <c r="Z741" s="1" t="s">
        <v>53</v>
      </c>
      <c r="AA741" s="12">
        <v>44587</v>
      </c>
      <c r="AB741" s="1" t="s">
        <v>286</v>
      </c>
      <c r="AC741" s="1" t="s">
        <v>320</v>
      </c>
      <c r="AD741" s="1" t="s">
        <v>507</v>
      </c>
      <c r="AE741" s="1" t="s">
        <v>69</v>
      </c>
      <c r="AG741" s="1">
        <v>10038000</v>
      </c>
    </row>
    <row r="742" spans="3:33" s="1" customFormat="1" x14ac:dyDescent="0.25">
      <c r="C742" s="1" t="s">
        <v>4444</v>
      </c>
      <c r="D742" s="1" t="s">
        <v>4418</v>
      </c>
      <c r="E742" s="1" t="s">
        <v>966</v>
      </c>
      <c r="F742" s="13" t="s">
        <v>6952</v>
      </c>
      <c r="G742" s="1" t="s">
        <v>503</v>
      </c>
      <c r="H742" s="1" t="s">
        <v>61</v>
      </c>
      <c r="I742" s="1">
        <v>336</v>
      </c>
      <c r="J742" s="1" t="s">
        <v>46</v>
      </c>
      <c r="M742" s="1" t="s">
        <v>62</v>
      </c>
      <c r="N742" s="1" t="s">
        <v>48</v>
      </c>
      <c r="O742" s="9">
        <v>12</v>
      </c>
      <c r="P742" s="1">
        <f>ROUNDUP(770*(1-$F$3),2)</f>
        <v>770</v>
      </c>
      <c r="Q742" s="1" t="s">
        <v>49</v>
      </c>
      <c r="R742" s="1" t="s">
        <v>4445</v>
      </c>
      <c r="S742" s="1" t="s">
        <v>4446</v>
      </c>
      <c r="T742" s="9">
        <v>22</v>
      </c>
      <c r="U742" s="1">
        <f>ROUNDUP(631.15*(1-$F$3),2)</f>
        <v>631.15</v>
      </c>
      <c r="V742" s="1">
        <v>323</v>
      </c>
      <c r="Y742" s="1" t="s">
        <v>969</v>
      </c>
      <c r="Z742" s="1" t="s">
        <v>128</v>
      </c>
      <c r="AA742" s="12">
        <v>43069</v>
      </c>
      <c r="AB742" s="1" t="s">
        <v>286</v>
      </c>
      <c r="AC742" s="1" t="s">
        <v>320</v>
      </c>
      <c r="AD742" s="1" t="s">
        <v>970</v>
      </c>
      <c r="AE742" s="1" t="s">
        <v>878</v>
      </c>
      <c r="AG742" s="1">
        <v>8404760</v>
      </c>
    </row>
    <row r="743" spans="3:33" s="1" customFormat="1" x14ac:dyDescent="0.25">
      <c r="C743" s="1" t="s">
        <v>4447</v>
      </c>
      <c r="D743" s="1" t="s">
        <v>4418</v>
      </c>
      <c r="E743" s="1" t="s">
        <v>4448</v>
      </c>
      <c r="F743" s="13" t="s">
        <v>6952</v>
      </c>
      <c r="G743" s="1" t="s">
        <v>4385</v>
      </c>
      <c r="H743" s="1" t="s">
        <v>61</v>
      </c>
      <c r="I743" s="1">
        <v>256</v>
      </c>
      <c r="J743" s="1" t="s">
        <v>46</v>
      </c>
      <c r="M743" s="1" t="s">
        <v>47</v>
      </c>
      <c r="N743" s="1" t="s">
        <v>48</v>
      </c>
      <c r="O743" s="9">
        <v>8</v>
      </c>
      <c r="P743" s="1">
        <f>ROUNDUP(1070*(1-$F$3),2)</f>
        <v>1070</v>
      </c>
      <c r="Q743" s="1" t="s">
        <v>49</v>
      </c>
      <c r="R743" s="1" t="s">
        <v>4449</v>
      </c>
      <c r="S743" s="1" t="s">
        <v>4450</v>
      </c>
      <c r="T743" s="9">
        <v>10</v>
      </c>
      <c r="U743" s="1">
        <f>ROUNDUP(972.73*(1-$F$3),2)</f>
        <v>972.73</v>
      </c>
      <c r="V743" s="1">
        <v>378</v>
      </c>
      <c r="Y743" s="1" t="s">
        <v>4451</v>
      </c>
      <c r="Z743" s="1" t="s">
        <v>128</v>
      </c>
      <c r="AA743" s="12">
        <v>45607</v>
      </c>
      <c r="AB743" s="1" t="s">
        <v>95</v>
      </c>
      <c r="AC743" s="1" t="s">
        <v>112</v>
      </c>
      <c r="AD743" s="1" t="s">
        <v>243</v>
      </c>
      <c r="AE743" s="1" t="s">
        <v>69</v>
      </c>
      <c r="AG743" s="1">
        <v>11540410</v>
      </c>
    </row>
    <row r="744" spans="3:33" s="1" customFormat="1" x14ac:dyDescent="0.25">
      <c r="C744" s="1" t="s">
        <v>4452</v>
      </c>
      <c r="D744" s="1" t="s">
        <v>4453</v>
      </c>
      <c r="E744" s="1" t="s">
        <v>779</v>
      </c>
      <c r="F744" s="13" t="s">
        <v>6952</v>
      </c>
      <c r="G744" s="1" t="s">
        <v>768</v>
      </c>
      <c r="H744" s="1" t="s">
        <v>61</v>
      </c>
      <c r="I744" s="1">
        <v>309</v>
      </c>
      <c r="J744" s="1" t="s">
        <v>46</v>
      </c>
      <c r="K744" s="1" t="s">
        <v>1566</v>
      </c>
      <c r="M744" s="1" t="s">
        <v>1061</v>
      </c>
      <c r="N744" s="1" t="s">
        <v>139</v>
      </c>
      <c r="O744" s="9">
        <v>12</v>
      </c>
      <c r="P744" s="1">
        <f>ROUNDUP(970*(1-$F$3),2)</f>
        <v>970</v>
      </c>
      <c r="Q744" s="1" t="s">
        <v>49</v>
      </c>
      <c r="R744" s="1" t="s">
        <v>4454</v>
      </c>
      <c r="S744" s="1" t="s">
        <v>4455</v>
      </c>
      <c r="T744" s="9">
        <v>10</v>
      </c>
      <c r="U744" s="1">
        <f>ROUNDUP(881.82*(1-$F$3),2)</f>
        <v>881.82</v>
      </c>
      <c r="V744" s="1">
        <v>331</v>
      </c>
      <c r="Y744" s="1" t="s">
        <v>782</v>
      </c>
      <c r="Z744" s="1" t="s">
        <v>76</v>
      </c>
      <c r="AA744" s="12">
        <v>43682</v>
      </c>
      <c r="AB744" s="1" t="s">
        <v>66</v>
      </c>
      <c r="AC744" s="1" t="s">
        <v>120</v>
      </c>
      <c r="AD744" s="1" t="s">
        <v>121</v>
      </c>
      <c r="AE744" s="1" t="s">
        <v>69</v>
      </c>
      <c r="AG744" s="1">
        <v>9112600</v>
      </c>
    </row>
    <row r="745" spans="3:33" s="1" customFormat="1" x14ac:dyDescent="0.25">
      <c r="C745" s="1" t="s">
        <v>4456</v>
      </c>
      <c r="D745" s="1" t="s">
        <v>4457</v>
      </c>
      <c r="E745" s="1" t="s">
        <v>4458</v>
      </c>
      <c r="F745" s="13" t="s">
        <v>6952</v>
      </c>
      <c r="G745" s="1" t="s">
        <v>1082</v>
      </c>
      <c r="H745" s="1" t="s">
        <v>160</v>
      </c>
      <c r="I745" s="1">
        <v>320</v>
      </c>
      <c r="J745" s="1" t="s">
        <v>46</v>
      </c>
      <c r="M745" s="1" t="s">
        <v>47</v>
      </c>
      <c r="N745" s="1" t="s">
        <v>48</v>
      </c>
      <c r="O745" s="9">
        <v>5</v>
      </c>
      <c r="P745" s="1">
        <f>ROUNDUP(1040*(1-$F$3),2)</f>
        <v>1040</v>
      </c>
      <c r="Q745" s="1" t="s">
        <v>49</v>
      </c>
      <c r="R745" s="1" t="s">
        <v>4459</v>
      </c>
      <c r="S745" s="1" t="s">
        <v>4460</v>
      </c>
      <c r="T745" s="9">
        <v>10</v>
      </c>
      <c r="U745" s="1">
        <f>ROUNDUP(945.45*(1-$F$3),2)</f>
        <v>945.45</v>
      </c>
      <c r="V745" s="1">
        <v>371</v>
      </c>
      <c r="Y745" s="1" t="s">
        <v>4461</v>
      </c>
      <c r="Z745" s="1" t="s">
        <v>53</v>
      </c>
      <c r="AA745" s="12">
        <v>45818</v>
      </c>
      <c r="AB745" s="1" t="s">
        <v>66</v>
      </c>
      <c r="AC745" s="1" t="s">
        <v>67</v>
      </c>
      <c r="AD745" s="1" t="s">
        <v>165</v>
      </c>
      <c r="AE745" s="1" t="s">
        <v>69</v>
      </c>
      <c r="AG745" s="1">
        <v>11775700</v>
      </c>
    </row>
    <row r="746" spans="3:33" s="1" customFormat="1" x14ac:dyDescent="0.25">
      <c r="C746" s="1" t="s">
        <v>4462</v>
      </c>
      <c r="D746" s="1" t="s">
        <v>4457</v>
      </c>
      <c r="E746" s="1" t="s">
        <v>1134</v>
      </c>
      <c r="F746" s="13" t="s">
        <v>6952</v>
      </c>
      <c r="G746" s="1" t="s">
        <v>1135</v>
      </c>
      <c r="H746" s="1" t="s">
        <v>160</v>
      </c>
      <c r="I746" s="1">
        <v>320</v>
      </c>
      <c r="J746" s="1" t="s">
        <v>46</v>
      </c>
      <c r="M746" s="1" t="s">
        <v>47</v>
      </c>
      <c r="N746" s="1" t="s">
        <v>48</v>
      </c>
      <c r="O746" s="9">
        <v>5</v>
      </c>
      <c r="P746" s="1">
        <f>ROUNDUP(1040*(1-$F$3),2)</f>
        <v>1040</v>
      </c>
      <c r="Q746" s="1" t="s">
        <v>49</v>
      </c>
      <c r="R746" s="1" t="s">
        <v>4463</v>
      </c>
      <c r="S746" s="1" t="s">
        <v>4464</v>
      </c>
      <c r="T746" s="9">
        <v>10</v>
      </c>
      <c r="U746" s="1">
        <f>ROUNDUP(945.45*(1-$F$3),2)</f>
        <v>945.45</v>
      </c>
      <c r="V746" s="1">
        <v>371</v>
      </c>
      <c r="Y746" s="1" t="s">
        <v>1138</v>
      </c>
      <c r="Z746" s="1" t="s">
        <v>53</v>
      </c>
      <c r="AA746" s="12">
        <v>45818</v>
      </c>
      <c r="AB746" s="1" t="s">
        <v>66</v>
      </c>
      <c r="AC746" s="1" t="s">
        <v>67</v>
      </c>
      <c r="AD746" s="1" t="s">
        <v>165</v>
      </c>
      <c r="AE746" s="1" t="s">
        <v>69</v>
      </c>
      <c r="AG746" s="1">
        <v>11775730</v>
      </c>
    </row>
    <row r="747" spans="3:33" s="1" customFormat="1" x14ac:dyDescent="0.25">
      <c r="C747" s="1" t="s">
        <v>4465</v>
      </c>
      <c r="D747" s="1" t="s">
        <v>4457</v>
      </c>
      <c r="E747" s="1" t="s">
        <v>1224</v>
      </c>
      <c r="F747" s="13" t="s">
        <v>6952</v>
      </c>
      <c r="G747" s="1" t="s">
        <v>1225</v>
      </c>
      <c r="H747" s="1" t="s">
        <v>160</v>
      </c>
      <c r="I747" s="1">
        <v>320</v>
      </c>
      <c r="J747" s="1" t="s">
        <v>46</v>
      </c>
      <c r="M747" s="1" t="s">
        <v>47</v>
      </c>
      <c r="N747" s="1" t="s">
        <v>48</v>
      </c>
      <c r="O747" s="9">
        <v>5</v>
      </c>
      <c r="P747" s="1">
        <f>ROUNDUP(1040*(1-$F$3),2)</f>
        <v>1040</v>
      </c>
      <c r="Q747" s="1" t="s">
        <v>49</v>
      </c>
      <c r="R747" s="1" t="s">
        <v>4466</v>
      </c>
      <c r="S747" s="1" t="s">
        <v>4467</v>
      </c>
      <c r="T747" s="9">
        <v>10</v>
      </c>
      <c r="U747" s="1">
        <f>ROUNDUP(945.45*(1-$F$3),2)</f>
        <v>945.45</v>
      </c>
      <c r="V747" s="1">
        <v>372</v>
      </c>
      <c r="Y747" s="1" t="s">
        <v>1228</v>
      </c>
      <c r="Z747" s="1" t="s">
        <v>53</v>
      </c>
      <c r="AA747" s="12">
        <v>45818</v>
      </c>
      <c r="AB747" s="1" t="s">
        <v>66</v>
      </c>
      <c r="AC747" s="1" t="s">
        <v>67</v>
      </c>
      <c r="AD747" s="1" t="s">
        <v>165</v>
      </c>
      <c r="AE747" s="1" t="s">
        <v>69</v>
      </c>
      <c r="AG747" s="1">
        <v>11775710</v>
      </c>
    </row>
    <row r="748" spans="3:33" s="1" customFormat="1" x14ac:dyDescent="0.25">
      <c r="C748" s="1" t="s">
        <v>4468</v>
      </c>
      <c r="D748" s="1" t="s">
        <v>4469</v>
      </c>
      <c r="E748" s="1" t="s">
        <v>4470</v>
      </c>
      <c r="F748" s="13" t="s">
        <v>6952</v>
      </c>
      <c r="G748" s="1" t="s">
        <v>44</v>
      </c>
      <c r="H748" s="1" t="s">
        <v>160</v>
      </c>
      <c r="I748" s="1">
        <v>432</v>
      </c>
      <c r="J748" s="1" t="s">
        <v>46</v>
      </c>
      <c r="M748" s="1" t="s">
        <v>47</v>
      </c>
      <c r="N748" s="1" t="s">
        <v>48</v>
      </c>
      <c r="O748" s="9">
        <v>4</v>
      </c>
      <c r="P748" s="1">
        <f>ROUNDUP(1350*(1-$F$3),2)</f>
        <v>1350</v>
      </c>
      <c r="Q748" s="1" t="s">
        <v>49</v>
      </c>
      <c r="R748" s="1" t="s">
        <v>4471</v>
      </c>
      <c r="S748" s="1" t="s">
        <v>4472</v>
      </c>
      <c r="T748" s="9">
        <v>10</v>
      </c>
      <c r="U748" s="1">
        <f>ROUNDUP(1227.27*(1-$F$3),2)</f>
        <v>1227.27</v>
      </c>
      <c r="V748" s="1">
        <v>458</v>
      </c>
      <c r="Y748" s="1" t="s">
        <v>4473</v>
      </c>
      <c r="Z748" s="1" t="s">
        <v>53</v>
      </c>
      <c r="AA748" s="12">
        <v>45670</v>
      </c>
      <c r="AB748" s="1" t="s">
        <v>95</v>
      </c>
      <c r="AC748" s="1" t="s">
        <v>313</v>
      </c>
      <c r="AD748" s="1" t="s">
        <v>2410</v>
      </c>
      <c r="AE748" s="1" t="s">
        <v>69</v>
      </c>
      <c r="AG748" s="1">
        <v>11600700</v>
      </c>
    </row>
    <row r="749" spans="3:33" s="1" customFormat="1" x14ac:dyDescent="0.25">
      <c r="C749" s="1" t="s">
        <v>4474</v>
      </c>
      <c r="D749" s="1" t="s">
        <v>4469</v>
      </c>
      <c r="E749" s="1" t="s">
        <v>4475</v>
      </c>
      <c r="F749" s="13" t="s">
        <v>6952</v>
      </c>
      <c r="G749" s="1" t="s">
        <v>44</v>
      </c>
      <c r="H749" s="1" t="s">
        <v>160</v>
      </c>
      <c r="I749" s="1">
        <v>356</v>
      </c>
      <c r="J749" s="1" t="s">
        <v>46</v>
      </c>
      <c r="M749" s="1" t="s">
        <v>47</v>
      </c>
      <c r="N749" s="1" t="s">
        <v>48</v>
      </c>
      <c r="O749" s="9">
        <v>5</v>
      </c>
      <c r="P749" s="1">
        <f>ROUNDUP(1250*(1-$F$3),2)</f>
        <v>1250</v>
      </c>
      <c r="Q749" s="1" t="s">
        <v>49</v>
      </c>
      <c r="R749" s="1" t="s">
        <v>4476</v>
      </c>
      <c r="S749" s="1" t="s">
        <v>4477</v>
      </c>
      <c r="T749" s="9">
        <v>10</v>
      </c>
      <c r="U749" s="1">
        <f>ROUNDUP(1136.36*(1-$F$3),2)</f>
        <v>1136.3599999999999</v>
      </c>
      <c r="V749" s="1">
        <v>401</v>
      </c>
      <c r="Y749" s="1" t="s">
        <v>4478</v>
      </c>
      <c r="Z749" s="1" t="s">
        <v>53</v>
      </c>
      <c r="AA749" s="12">
        <v>45653</v>
      </c>
      <c r="AB749" s="1" t="s">
        <v>95</v>
      </c>
      <c r="AC749" s="1" t="s">
        <v>313</v>
      </c>
      <c r="AD749" s="1" t="s">
        <v>2410</v>
      </c>
      <c r="AE749" s="1" t="s">
        <v>69</v>
      </c>
      <c r="AG749" s="1">
        <v>11603290</v>
      </c>
    </row>
    <row r="750" spans="3:33" s="1" customFormat="1" x14ac:dyDescent="0.25">
      <c r="C750" s="1" t="s">
        <v>4479</v>
      </c>
      <c r="D750" s="1" t="s">
        <v>4469</v>
      </c>
      <c r="E750" s="1" t="s">
        <v>4480</v>
      </c>
      <c r="F750" s="13" t="s">
        <v>6952</v>
      </c>
      <c r="G750" s="1" t="s">
        <v>44</v>
      </c>
      <c r="H750" s="1" t="s">
        <v>160</v>
      </c>
      <c r="I750" s="1">
        <v>416</v>
      </c>
      <c r="J750" s="1" t="s">
        <v>46</v>
      </c>
      <c r="M750" s="1" t="s">
        <v>47</v>
      </c>
      <c r="N750" s="1" t="s">
        <v>48</v>
      </c>
      <c r="O750" s="9">
        <v>5</v>
      </c>
      <c r="P750" s="1">
        <f>ROUNDUP(1520*(1-$F$3),2)</f>
        <v>1520</v>
      </c>
      <c r="Q750" s="1" t="s">
        <v>49</v>
      </c>
      <c r="R750" s="1" t="s">
        <v>4481</v>
      </c>
      <c r="S750" s="1" t="s">
        <v>4482</v>
      </c>
      <c r="T750" s="9">
        <v>10</v>
      </c>
      <c r="U750" s="1">
        <f>ROUNDUP(1381.82*(1-$F$3),2)</f>
        <v>1381.82</v>
      </c>
      <c r="V750" s="1">
        <v>455</v>
      </c>
      <c r="Y750" s="1" t="s">
        <v>4483</v>
      </c>
      <c r="Z750" s="1" t="s">
        <v>53</v>
      </c>
      <c r="AA750" s="12">
        <v>45825</v>
      </c>
      <c r="AB750" s="1" t="s">
        <v>334</v>
      </c>
      <c r="AC750" s="1" t="s">
        <v>335</v>
      </c>
      <c r="AD750" s="1" t="s">
        <v>336</v>
      </c>
      <c r="AE750" s="1" t="s">
        <v>69</v>
      </c>
      <c r="AG750" s="1">
        <v>11782550</v>
      </c>
    </row>
    <row r="751" spans="3:33" s="1" customFormat="1" x14ac:dyDescent="0.25">
      <c r="C751" s="1" t="s">
        <v>4484</v>
      </c>
      <c r="D751" s="1" t="s">
        <v>4469</v>
      </c>
      <c r="E751" s="1" t="s">
        <v>4485</v>
      </c>
      <c r="F751" s="13" t="s">
        <v>6952</v>
      </c>
      <c r="G751" s="1" t="s">
        <v>44</v>
      </c>
      <c r="H751" s="1" t="s">
        <v>61</v>
      </c>
      <c r="I751" s="1">
        <v>192</v>
      </c>
      <c r="J751" s="1" t="s">
        <v>46</v>
      </c>
      <c r="M751" s="1" t="s">
        <v>176</v>
      </c>
      <c r="N751" s="1" t="s">
        <v>48</v>
      </c>
      <c r="O751" s="9">
        <v>16</v>
      </c>
      <c r="P751" s="1">
        <f>ROUNDUP(970*(1-$F$3),2)</f>
        <v>970</v>
      </c>
      <c r="Q751" s="1" t="s">
        <v>49</v>
      </c>
      <c r="R751" s="1" t="s">
        <v>4486</v>
      </c>
      <c r="S751" s="1" t="s">
        <v>4487</v>
      </c>
      <c r="T751" s="9">
        <v>10</v>
      </c>
      <c r="U751" s="1">
        <f>ROUNDUP(881.82*(1-$F$3),2)</f>
        <v>881.82</v>
      </c>
      <c r="V751" s="1">
        <v>343</v>
      </c>
      <c r="Y751" s="1" t="s">
        <v>4488</v>
      </c>
      <c r="Z751" s="1" t="s">
        <v>53</v>
      </c>
      <c r="AA751" s="12">
        <v>45286</v>
      </c>
      <c r="AB751" s="1" t="s">
        <v>95</v>
      </c>
      <c r="AC751" s="1" t="s">
        <v>313</v>
      </c>
      <c r="AD751" s="1" t="s">
        <v>2410</v>
      </c>
      <c r="AE751" s="1" t="s">
        <v>69</v>
      </c>
      <c r="AG751" s="1">
        <v>11192130</v>
      </c>
    </row>
    <row r="752" spans="3:33" s="1" customFormat="1" x14ac:dyDescent="0.25">
      <c r="C752" s="1" t="s">
        <v>4489</v>
      </c>
      <c r="D752" s="1" t="s">
        <v>4469</v>
      </c>
      <c r="E752" s="1" t="s">
        <v>4485</v>
      </c>
      <c r="F752" s="13" t="s">
        <v>6952</v>
      </c>
      <c r="G752" s="1" t="s">
        <v>44</v>
      </c>
      <c r="H752" s="1" t="s">
        <v>61</v>
      </c>
      <c r="I752" s="1">
        <v>192</v>
      </c>
      <c r="J752" s="1" t="s">
        <v>46</v>
      </c>
      <c r="M752" s="1" t="s">
        <v>47</v>
      </c>
      <c r="N752" s="1" t="s">
        <v>48</v>
      </c>
      <c r="O752" s="9">
        <v>10</v>
      </c>
      <c r="P752" s="1">
        <f>ROUNDUP(890*(1-$F$3),2)</f>
        <v>890</v>
      </c>
      <c r="Q752" s="1" t="s">
        <v>49</v>
      </c>
      <c r="R752" s="1" t="s">
        <v>4490</v>
      </c>
      <c r="S752" s="1" t="s">
        <v>4491</v>
      </c>
      <c r="T752" s="9">
        <v>10</v>
      </c>
      <c r="U752" s="1">
        <f>ROUNDUP(809.09*(1-$F$3),2)</f>
        <v>809.09</v>
      </c>
      <c r="V752" s="1">
        <v>293</v>
      </c>
      <c r="Y752" s="1" t="s">
        <v>4488</v>
      </c>
      <c r="Z752" s="1" t="s">
        <v>53</v>
      </c>
      <c r="AA752" s="12">
        <v>45653</v>
      </c>
      <c r="AB752" s="1" t="s">
        <v>95</v>
      </c>
      <c r="AC752" s="1" t="s">
        <v>313</v>
      </c>
      <c r="AD752" s="1" t="s">
        <v>2410</v>
      </c>
      <c r="AE752" s="1" t="s">
        <v>69</v>
      </c>
      <c r="AG752" s="1">
        <v>11603300</v>
      </c>
    </row>
    <row r="753" spans="3:33" s="1" customFormat="1" x14ac:dyDescent="0.25">
      <c r="C753" s="1" t="s">
        <v>4492</v>
      </c>
      <c r="D753" s="1" t="s">
        <v>4469</v>
      </c>
      <c r="E753" s="1" t="s">
        <v>4493</v>
      </c>
      <c r="F753" s="13" t="s">
        <v>6952</v>
      </c>
      <c r="G753" s="1" t="s">
        <v>44</v>
      </c>
      <c r="H753" s="1" t="s">
        <v>160</v>
      </c>
      <c r="I753" s="1">
        <v>438</v>
      </c>
      <c r="J753" s="1" t="s">
        <v>46</v>
      </c>
      <c r="M753" s="1" t="s">
        <v>169</v>
      </c>
      <c r="N753" s="1" t="s">
        <v>48</v>
      </c>
      <c r="O753" s="9">
        <v>8</v>
      </c>
      <c r="P753" s="1">
        <f>ROUNDUP(1680*(1-$F$3),2)</f>
        <v>1680</v>
      </c>
      <c r="Q753" s="1" t="s">
        <v>49</v>
      </c>
      <c r="R753" s="1" t="s">
        <v>4494</v>
      </c>
      <c r="S753" s="1" t="s">
        <v>4495</v>
      </c>
      <c r="T753" s="9">
        <v>10</v>
      </c>
      <c r="U753" s="1">
        <f>ROUNDUP(1527.27*(1-$F$3),2)</f>
        <v>1527.27</v>
      </c>
      <c r="V753" s="1">
        <v>536</v>
      </c>
      <c r="Y753" s="1" t="s">
        <v>4496</v>
      </c>
      <c r="Z753" s="1" t="s">
        <v>53</v>
      </c>
      <c r="AA753" s="12">
        <v>44579</v>
      </c>
      <c r="AB753" s="1" t="s">
        <v>95</v>
      </c>
      <c r="AC753" s="1" t="s">
        <v>313</v>
      </c>
      <c r="AD753" s="1" t="s">
        <v>514</v>
      </c>
      <c r="AE753" s="1" t="s">
        <v>69</v>
      </c>
      <c r="AG753" s="1">
        <v>10239790</v>
      </c>
    </row>
    <row r="754" spans="3:33" s="1" customFormat="1" x14ac:dyDescent="0.25">
      <c r="C754" s="1" t="s">
        <v>4497</v>
      </c>
      <c r="D754" s="1" t="s">
        <v>4469</v>
      </c>
      <c r="E754" s="1" t="s">
        <v>4498</v>
      </c>
      <c r="F754" s="13" t="s">
        <v>6952</v>
      </c>
      <c r="G754" s="1" t="s">
        <v>44</v>
      </c>
      <c r="H754" s="1" t="s">
        <v>160</v>
      </c>
      <c r="I754" s="1">
        <v>480</v>
      </c>
      <c r="J754" s="1" t="s">
        <v>46</v>
      </c>
      <c r="M754" s="1" t="s">
        <v>47</v>
      </c>
      <c r="N754" s="1" t="s">
        <v>48</v>
      </c>
      <c r="O754" s="9">
        <v>5</v>
      </c>
      <c r="P754" s="1">
        <f>ROUNDUP(1520*(1-$F$3),2)</f>
        <v>1520</v>
      </c>
      <c r="Q754" s="1" t="s">
        <v>49</v>
      </c>
      <c r="R754" s="1" t="s">
        <v>4499</v>
      </c>
      <c r="S754" s="1" t="s">
        <v>4500</v>
      </c>
      <c r="T754" s="9">
        <v>10</v>
      </c>
      <c r="U754" s="1">
        <f>ROUNDUP(1381.82*(1-$F$3),2)</f>
        <v>1381.82</v>
      </c>
      <c r="V754" s="1">
        <v>503</v>
      </c>
      <c r="Y754" s="1" t="s">
        <v>4501</v>
      </c>
      <c r="Z754" s="1" t="s">
        <v>53</v>
      </c>
      <c r="AA754" s="12">
        <v>45670</v>
      </c>
      <c r="AB754" s="1" t="s">
        <v>334</v>
      </c>
      <c r="AC754" s="1" t="s">
        <v>335</v>
      </c>
      <c r="AD754" s="1" t="s">
        <v>336</v>
      </c>
      <c r="AE754" s="1" t="s">
        <v>69</v>
      </c>
      <c r="AG754" s="1">
        <v>11602530</v>
      </c>
    </row>
    <row r="755" spans="3:33" s="1" customFormat="1" x14ac:dyDescent="0.25">
      <c r="C755" s="1" t="s">
        <v>4502</v>
      </c>
      <c r="D755" s="1" t="s">
        <v>4469</v>
      </c>
      <c r="E755" s="1" t="s">
        <v>4503</v>
      </c>
      <c r="F755" s="13" t="s">
        <v>6952</v>
      </c>
      <c r="G755" s="1" t="s">
        <v>44</v>
      </c>
      <c r="H755" s="1" t="s">
        <v>160</v>
      </c>
      <c r="I755" s="1">
        <v>436</v>
      </c>
      <c r="J755" s="1" t="s">
        <v>46</v>
      </c>
      <c r="M755" s="1" t="s">
        <v>47</v>
      </c>
      <c r="N755" s="1" t="s">
        <v>48</v>
      </c>
      <c r="O755" s="9">
        <v>4</v>
      </c>
      <c r="P755" s="1">
        <f>ROUNDUP(1670*(1-$F$3),2)</f>
        <v>1670</v>
      </c>
      <c r="Q755" s="1" t="s">
        <v>49</v>
      </c>
      <c r="R755" s="1" t="s">
        <v>4504</v>
      </c>
      <c r="S755" s="1" t="s">
        <v>4505</v>
      </c>
      <c r="T755" s="9">
        <v>10</v>
      </c>
      <c r="U755" s="1">
        <f>ROUNDUP(1518.18*(1-$F$3),2)</f>
        <v>1518.18</v>
      </c>
      <c r="V755" s="1">
        <v>415</v>
      </c>
      <c r="Y755" s="1" t="s">
        <v>4506</v>
      </c>
      <c r="Z755" s="1" t="s">
        <v>53</v>
      </c>
      <c r="AA755" s="12">
        <v>45587</v>
      </c>
      <c r="AB755" s="1" t="s">
        <v>95</v>
      </c>
      <c r="AC755" s="1" t="s">
        <v>313</v>
      </c>
      <c r="AD755" s="1" t="s">
        <v>2410</v>
      </c>
      <c r="AE755" s="1" t="s">
        <v>69</v>
      </c>
      <c r="AG755" s="1">
        <v>11509570</v>
      </c>
    </row>
    <row r="756" spans="3:33" s="1" customFormat="1" x14ac:dyDescent="0.25">
      <c r="C756" s="1" t="s">
        <v>4507</v>
      </c>
      <c r="D756" s="1" t="s">
        <v>4469</v>
      </c>
      <c r="E756" s="1" t="s">
        <v>4508</v>
      </c>
      <c r="F756" s="13" t="s">
        <v>6952</v>
      </c>
      <c r="G756" s="1" t="s">
        <v>44</v>
      </c>
      <c r="H756" s="1" t="s">
        <v>160</v>
      </c>
      <c r="I756" s="1">
        <v>464</v>
      </c>
      <c r="J756" s="1" t="s">
        <v>46</v>
      </c>
      <c r="M756" s="1" t="s">
        <v>47</v>
      </c>
      <c r="N756" s="1" t="s">
        <v>48</v>
      </c>
      <c r="O756" s="9">
        <v>5</v>
      </c>
      <c r="P756" s="1">
        <f>ROUNDUP(1560*(1-$F$3),2)</f>
        <v>1560</v>
      </c>
      <c r="Q756" s="1" t="s">
        <v>49</v>
      </c>
      <c r="R756" s="1" t="s">
        <v>4509</v>
      </c>
      <c r="S756" s="1" t="s">
        <v>4510</v>
      </c>
      <c r="T756" s="9">
        <v>10</v>
      </c>
      <c r="U756" s="1">
        <f>ROUNDUP(1418.18*(1-$F$3),2)</f>
        <v>1418.18</v>
      </c>
      <c r="V756" s="1">
        <v>498</v>
      </c>
      <c r="Y756" s="1" t="s">
        <v>4511</v>
      </c>
      <c r="Z756" s="1" t="s">
        <v>53</v>
      </c>
      <c r="AA756" s="12">
        <v>45825</v>
      </c>
      <c r="AB756" s="1" t="s">
        <v>334</v>
      </c>
      <c r="AC756" s="1" t="s">
        <v>335</v>
      </c>
      <c r="AD756" s="1" t="s">
        <v>336</v>
      </c>
      <c r="AE756" s="1" t="s">
        <v>69</v>
      </c>
      <c r="AG756" s="1">
        <v>11782560</v>
      </c>
    </row>
    <row r="757" spans="3:33" s="1" customFormat="1" x14ac:dyDescent="0.25">
      <c r="C757" s="1" t="s">
        <v>4512</v>
      </c>
      <c r="D757" s="1" t="s">
        <v>4469</v>
      </c>
      <c r="E757" s="1" t="s">
        <v>4513</v>
      </c>
      <c r="F757" s="13" t="s">
        <v>6952</v>
      </c>
      <c r="G757" s="1" t="s">
        <v>44</v>
      </c>
      <c r="H757" s="1" t="s">
        <v>160</v>
      </c>
      <c r="I757" s="1">
        <v>356</v>
      </c>
      <c r="J757" s="1" t="s">
        <v>46</v>
      </c>
      <c r="M757" s="1" t="s">
        <v>169</v>
      </c>
      <c r="N757" s="1" t="s">
        <v>48</v>
      </c>
      <c r="O757" s="9">
        <v>12</v>
      </c>
      <c r="P757" s="1">
        <f>ROUNDUP(1340*(1-$F$3),2)</f>
        <v>1340</v>
      </c>
      <c r="Q757" s="1" t="s">
        <v>49</v>
      </c>
      <c r="R757" s="1" t="s">
        <v>4514</v>
      </c>
      <c r="S757" s="1" t="s">
        <v>4515</v>
      </c>
      <c r="T757" s="9">
        <v>10</v>
      </c>
      <c r="U757" s="1">
        <f>ROUNDUP(1218.18*(1-$F$3),2)</f>
        <v>1218.18</v>
      </c>
      <c r="V757" s="1">
        <v>395</v>
      </c>
      <c r="Y757" s="1" t="s">
        <v>4516</v>
      </c>
      <c r="Z757" s="1" t="s">
        <v>53</v>
      </c>
      <c r="AA757" s="12">
        <v>44838</v>
      </c>
      <c r="AB757" s="1" t="s">
        <v>95</v>
      </c>
      <c r="AC757" s="1" t="s">
        <v>313</v>
      </c>
      <c r="AD757" s="1" t="s">
        <v>2410</v>
      </c>
      <c r="AE757" s="1" t="s">
        <v>69</v>
      </c>
      <c r="AG757" s="1">
        <v>10643980</v>
      </c>
    </row>
    <row r="758" spans="3:33" s="1" customFormat="1" x14ac:dyDescent="0.25">
      <c r="C758" s="1" t="s">
        <v>4517</v>
      </c>
      <c r="D758" s="1" t="s">
        <v>4469</v>
      </c>
      <c r="E758" s="1" t="s">
        <v>4518</v>
      </c>
      <c r="F758" s="13" t="s">
        <v>6952</v>
      </c>
      <c r="G758" s="1" t="s">
        <v>44</v>
      </c>
      <c r="H758" s="1" t="s">
        <v>160</v>
      </c>
      <c r="I758" s="1">
        <v>266</v>
      </c>
      <c r="J758" s="1" t="s">
        <v>46</v>
      </c>
      <c r="M758" s="1" t="s">
        <v>47</v>
      </c>
      <c r="N758" s="1" t="s">
        <v>48</v>
      </c>
      <c r="O758" s="9">
        <v>10</v>
      </c>
      <c r="P758" s="1">
        <f>ROUNDUP(1040*(1-$F$3),2)</f>
        <v>1040</v>
      </c>
      <c r="Q758" s="1" t="s">
        <v>49</v>
      </c>
      <c r="R758" s="1" t="s">
        <v>4519</v>
      </c>
      <c r="S758" s="1" t="s">
        <v>4520</v>
      </c>
      <c r="T758" s="9">
        <v>10</v>
      </c>
      <c r="U758" s="1">
        <f>ROUNDUP(945.45*(1-$F$3),2)</f>
        <v>945.45</v>
      </c>
      <c r="V758" s="1">
        <v>369</v>
      </c>
      <c r="Y758" s="1" t="s">
        <v>4521</v>
      </c>
      <c r="Z758" s="1" t="s">
        <v>53</v>
      </c>
      <c r="AA758" s="12">
        <v>45654</v>
      </c>
      <c r="AB758" s="1" t="s">
        <v>95</v>
      </c>
      <c r="AC758" s="1" t="s">
        <v>313</v>
      </c>
      <c r="AD758" s="1" t="s">
        <v>2410</v>
      </c>
      <c r="AE758" s="1" t="s">
        <v>69</v>
      </c>
      <c r="AG758" s="1">
        <v>11603310</v>
      </c>
    </row>
    <row r="759" spans="3:33" s="1" customFormat="1" x14ac:dyDescent="0.25">
      <c r="C759" s="1" t="s">
        <v>4522</v>
      </c>
      <c r="D759" s="1" t="s">
        <v>4469</v>
      </c>
      <c r="E759" s="1" t="s">
        <v>4523</v>
      </c>
      <c r="F759" s="13" t="s">
        <v>6952</v>
      </c>
      <c r="G759" s="1" t="s">
        <v>44</v>
      </c>
      <c r="H759" s="1" t="s">
        <v>160</v>
      </c>
      <c r="I759" s="1">
        <v>694</v>
      </c>
      <c r="J759" s="1" t="s">
        <v>46</v>
      </c>
      <c r="M759" s="1" t="s">
        <v>47</v>
      </c>
      <c r="N759" s="1" t="s">
        <v>48</v>
      </c>
      <c r="O759" s="9">
        <v>4</v>
      </c>
      <c r="P759" s="1">
        <f>ROUNDUP(1880*(1-$F$3),2)</f>
        <v>1880</v>
      </c>
      <c r="Q759" s="1" t="s">
        <v>49</v>
      </c>
      <c r="R759" s="1" t="s">
        <v>4524</v>
      </c>
      <c r="S759" s="1" t="s">
        <v>4525</v>
      </c>
      <c r="T759" s="9">
        <v>10</v>
      </c>
      <c r="U759" s="1">
        <f>ROUNDUP(1709.09*(1-$F$3),2)</f>
        <v>1709.09</v>
      </c>
      <c r="V759" s="1">
        <v>687</v>
      </c>
      <c r="Y759" s="1" t="s">
        <v>4526</v>
      </c>
      <c r="Z759" s="1" t="s">
        <v>53</v>
      </c>
      <c r="AA759" s="12">
        <v>45672</v>
      </c>
      <c r="AB759" s="1" t="s">
        <v>54</v>
      </c>
      <c r="AC759" s="1" t="s">
        <v>55</v>
      </c>
      <c r="AD759" s="1" t="s">
        <v>56</v>
      </c>
      <c r="AE759" s="1" t="s">
        <v>69</v>
      </c>
      <c r="AG759" s="1">
        <v>11612620</v>
      </c>
    </row>
    <row r="760" spans="3:33" s="1" customFormat="1" x14ac:dyDescent="0.25">
      <c r="C760" s="1" t="s">
        <v>4527</v>
      </c>
      <c r="D760" s="1" t="s">
        <v>4528</v>
      </c>
      <c r="E760" s="1" t="s">
        <v>4529</v>
      </c>
      <c r="F760" s="13" t="s">
        <v>6952</v>
      </c>
      <c r="G760" s="1" t="s">
        <v>4530</v>
      </c>
      <c r="H760" s="1" t="s">
        <v>4531</v>
      </c>
      <c r="I760" s="1">
        <v>288</v>
      </c>
      <c r="J760" s="1" t="s">
        <v>46</v>
      </c>
      <c r="M760" s="1" t="s">
        <v>3298</v>
      </c>
      <c r="N760" s="1" t="s">
        <v>48</v>
      </c>
      <c r="O760" s="9">
        <v>11</v>
      </c>
      <c r="P760" s="1">
        <f>ROUNDUP(2850*(1-$F$3),2)</f>
        <v>2850</v>
      </c>
      <c r="Q760" s="1" t="s">
        <v>49</v>
      </c>
      <c r="R760" s="1" t="s">
        <v>4532</v>
      </c>
      <c r="S760" s="1" t="s">
        <v>4533</v>
      </c>
      <c r="T760" s="9">
        <v>10</v>
      </c>
      <c r="U760" s="1">
        <f>ROUNDUP(2590.91*(1-$F$3),2)</f>
        <v>2590.91</v>
      </c>
      <c r="V760" s="1">
        <v>1381</v>
      </c>
      <c r="Y760" s="1" t="s">
        <v>4534</v>
      </c>
      <c r="Z760" s="1" t="s">
        <v>53</v>
      </c>
      <c r="AA760" s="12">
        <v>42494</v>
      </c>
      <c r="AB760" s="1" t="s">
        <v>234</v>
      </c>
      <c r="AC760" s="1" t="s">
        <v>528</v>
      </c>
      <c r="AD760" s="1" t="s">
        <v>2616</v>
      </c>
      <c r="AE760" s="1" t="s">
        <v>49</v>
      </c>
      <c r="AG760" s="1">
        <v>7586720</v>
      </c>
    </row>
    <row r="761" spans="3:33" s="1" customFormat="1" x14ac:dyDescent="0.25">
      <c r="C761" s="1" t="s">
        <v>4535</v>
      </c>
      <c r="D761" s="1" t="s">
        <v>4528</v>
      </c>
      <c r="E761" s="1" t="s">
        <v>4536</v>
      </c>
      <c r="F761" s="13" t="s">
        <v>6952</v>
      </c>
      <c r="G761" s="1" t="s">
        <v>168</v>
      </c>
      <c r="H761" s="1" t="s">
        <v>160</v>
      </c>
      <c r="I761" s="1">
        <v>244</v>
      </c>
      <c r="J761" s="1" t="s">
        <v>46</v>
      </c>
      <c r="M761" s="1" t="s">
        <v>835</v>
      </c>
      <c r="N761" s="1" t="s">
        <v>48</v>
      </c>
      <c r="O761" s="9">
        <v>14</v>
      </c>
      <c r="P761" s="1">
        <f>ROUNDUP(1030*(1-$F$3),2)</f>
        <v>1030</v>
      </c>
      <c r="Q761" s="1" t="s">
        <v>49</v>
      </c>
      <c r="R761" s="1" t="s">
        <v>4537</v>
      </c>
      <c r="S761" s="1" t="s">
        <v>4538</v>
      </c>
      <c r="T761" s="9">
        <v>10</v>
      </c>
      <c r="U761" s="1">
        <f>ROUNDUP(936.36*(1-$F$3),2)</f>
        <v>936.36</v>
      </c>
      <c r="V761" s="1">
        <v>302</v>
      </c>
      <c r="Y761" s="1" t="s">
        <v>4539</v>
      </c>
      <c r="Z761" s="1" t="s">
        <v>53</v>
      </c>
      <c r="AA761" s="12">
        <v>44060</v>
      </c>
      <c r="AB761" s="1" t="s">
        <v>66</v>
      </c>
      <c r="AC761" s="1" t="s">
        <v>104</v>
      </c>
      <c r="AD761" s="1" t="s">
        <v>105</v>
      </c>
      <c r="AE761" s="1" t="s">
        <v>69</v>
      </c>
      <c r="AG761" s="1">
        <v>9479310</v>
      </c>
    </row>
    <row r="762" spans="3:33" s="1" customFormat="1" x14ac:dyDescent="0.25">
      <c r="C762" s="1" t="s">
        <v>4540</v>
      </c>
      <c r="D762" s="1" t="s">
        <v>4528</v>
      </c>
      <c r="E762" s="1" t="s">
        <v>2301</v>
      </c>
      <c r="F762" s="13" t="s">
        <v>6952</v>
      </c>
      <c r="G762" s="1" t="s">
        <v>2302</v>
      </c>
      <c r="H762" s="1" t="s">
        <v>61</v>
      </c>
      <c r="I762" s="1">
        <v>383</v>
      </c>
      <c r="J762" s="1" t="s">
        <v>46</v>
      </c>
      <c r="K762" s="1" t="s">
        <v>1566</v>
      </c>
      <c r="M762" s="1" t="s">
        <v>2310</v>
      </c>
      <c r="N762" s="1" t="s">
        <v>48</v>
      </c>
      <c r="O762" s="9">
        <v>33</v>
      </c>
      <c r="P762" s="1">
        <f>ROUNDUP(1130*(1-$F$3),2)</f>
        <v>1130</v>
      </c>
      <c r="Q762" s="1" t="s">
        <v>49</v>
      </c>
      <c r="R762" s="1" t="s">
        <v>4541</v>
      </c>
      <c r="S762" s="1" t="s">
        <v>4542</v>
      </c>
      <c r="T762" s="9">
        <v>10</v>
      </c>
      <c r="U762" s="1">
        <f>ROUNDUP(1027.27*(1-$F$3),2)</f>
        <v>1027.27</v>
      </c>
      <c r="V762" s="1">
        <v>516</v>
      </c>
      <c r="Y762" s="1" t="s">
        <v>2305</v>
      </c>
      <c r="Z762" s="1" t="s">
        <v>53</v>
      </c>
      <c r="AA762" s="12">
        <v>43381</v>
      </c>
      <c r="AB762" s="1" t="s">
        <v>66</v>
      </c>
      <c r="AC762" s="1" t="s">
        <v>143</v>
      </c>
      <c r="AD762" s="1" t="s">
        <v>144</v>
      </c>
      <c r="AE762" s="1" t="s">
        <v>69</v>
      </c>
      <c r="AG762" s="1">
        <v>8805140</v>
      </c>
    </row>
    <row r="763" spans="3:33" s="1" customFormat="1" x14ac:dyDescent="0.25">
      <c r="C763" s="1" t="s">
        <v>4543</v>
      </c>
      <c r="D763" s="1" t="s">
        <v>4528</v>
      </c>
      <c r="E763" s="1" t="s">
        <v>4544</v>
      </c>
      <c r="F763" s="13" t="s">
        <v>6952</v>
      </c>
      <c r="G763" s="1" t="s">
        <v>2453</v>
      </c>
      <c r="H763" s="1" t="s">
        <v>160</v>
      </c>
      <c r="I763" s="1">
        <v>544</v>
      </c>
      <c r="J763" s="1" t="s">
        <v>46</v>
      </c>
      <c r="M763" s="1" t="s">
        <v>176</v>
      </c>
      <c r="N763" s="1" t="s">
        <v>48</v>
      </c>
      <c r="O763" s="9">
        <v>8</v>
      </c>
      <c r="P763" s="1">
        <f>ROUNDUP(956.2*(1-$F$3),2)</f>
        <v>956.2</v>
      </c>
      <c r="Q763" s="1" t="s">
        <v>49</v>
      </c>
      <c r="R763" s="1" t="s">
        <v>4545</v>
      </c>
      <c r="S763" s="1" t="s">
        <v>4546</v>
      </c>
      <c r="T763" s="9">
        <v>10</v>
      </c>
      <c r="U763" s="1">
        <f>ROUNDUP(869.27*(1-$F$3),2)</f>
        <v>869.27</v>
      </c>
      <c r="V763" s="1">
        <v>399</v>
      </c>
      <c r="Y763" s="1" t="s">
        <v>4547</v>
      </c>
      <c r="Z763" s="1" t="s">
        <v>128</v>
      </c>
      <c r="AA763" s="12">
        <v>44287</v>
      </c>
      <c r="AB763" s="1" t="s">
        <v>2860</v>
      </c>
      <c r="AC763" s="1" t="s">
        <v>2861</v>
      </c>
      <c r="AD763" s="1" t="s">
        <v>2861</v>
      </c>
      <c r="AE763" s="1" t="s">
        <v>878</v>
      </c>
      <c r="AG763" s="1">
        <v>9688010</v>
      </c>
    </row>
    <row r="764" spans="3:33" s="1" customFormat="1" x14ac:dyDescent="0.25">
      <c r="C764" s="1" t="s">
        <v>4548</v>
      </c>
      <c r="D764" s="1" t="s">
        <v>4549</v>
      </c>
      <c r="E764" s="1" t="s">
        <v>4550</v>
      </c>
      <c r="F764" s="13" t="s">
        <v>6952</v>
      </c>
      <c r="G764" s="1" t="s">
        <v>888</v>
      </c>
      <c r="H764" s="1" t="s">
        <v>160</v>
      </c>
      <c r="I764" s="1">
        <v>768</v>
      </c>
      <c r="J764" s="1" t="s">
        <v>46</v>
      </c>
      <c r="M764" s="1" t="s">
        <v>62</v>
      </c>
      <c r="N764" s="1" t="s">
        <v>48</v>
      </c>
      <c r="O764" s="9">
        <v>4</v>
      </c>
      <c r="P764" s="1">
        <f>ROUNDUP(1530*(1-$F$3),2)</f>
        <v>1530</v>
      </c>
      <c r="Q764" s="1" t="s">
        <v>49</v>
      </c>
      <c r="R764" s="1" t="s">
        <v>4551</v>
      </c>
      <c r="S764" s="1" t="s">
        <v>4552</v>
      </c>
      <c r="T764" s="9">
        <v>10</v>
      </c>
      <c r="U764" s="1">
        <f>ROUNDUP(1390.91*(1-$F$3),2)</f>
        <v>1390.91</v>
      </c>
      <c r="V764" s="1">
        <v>673</v>
      </c>
      <c r="Y764" s="1" t="s">
        <v>4553</v>
      </c>
      <c r="Z764" s="1" t="s">
        <v>53</v>
      </c>
      <c r="AA764" s="12">
        <v>42327</v>
      </c>
      <c r="AB764" s="1" t="s">
        <v>334</v>
      </c>
      <c r="AC764" s="1" t="s">
        <v>892</v>
      </c>
      <c r="AD764" s="1" t="s">
        <v>893</v>
      </c>
      <c r="AE764" s="1" t="s">
        <v>69</v>
      </c>
      <c r="AG764" s="1">
        <v>7288270</v>
      </c>
    </row>
    <row r="765" spans="3:33" s="1" customFormat="1" x14ac:dyDescent="0.25">
      <c r="C765" s="1" t="s">
        <v>4554</v>
      </c>
      <c r="D765" s="1" t="s">
        <v>4555</v>
      </c>
      <c r="E765" s="1" t="s">
        <v>4556</v>
      </c>
      <c r="F765" s="13" t="s">
        <v>6952</v>
      </c>
      <c r="G765" s="1" t="s">
        <v>4557</v>
      </c>
      <c r="H765" s="1" t="s">
        <v>3426</v>
      </c>
      <c r="I765" s="1">
        <v>145</v>
      </c>
      <c r="J765" s="1" t="s">
        <v>46</v>
      </c>
      <c r="M765" s="1" t="s">
        <v>4558</v>
      </c>
      <c r="N765" s="1" t="s">
        <v>139</v>
      </c>
      <c r="O765" s="9">
        <v>20</v>
      </c>
      <c r="P765" s="1">
        <f>ROUNDUP(3425.7*(1-$F$3),2)</f>
        <v>3425.7</v>
      </c>
      <c r="Q765" s="1" t="s">
        <v>49</v>
      </c>
      <c r="R765" s="1" t="s">
        <v>4559</v>
      </c>
      <c r="S765" s="1" t="s">
        <v>4560</v>
      </c>
      <c r="T765" s="9">
        <v>10</v>
      </c>
      <c r="U765" s="1">
        <f>ROUNDUP(3114.27*(1-$F$3),2)</f>
        <v>3114.27</v>
      </c>
      <c r="V765" s="1">
        <v>734</v>
      </c>
      <c r="W765" s="1" t="s">
        <v>4561</v>
      </c>
      <c r="X765" s="1" t="s">
        <v>4562</v>
      </c>
      <c r="Y765" s="1" t="s">
        <v>4563</v>
      </c>
      <c r="AA765" s="12">
        <v>42247</v>
      </c>
      <c r="AB765" s="1" t="s">
        <v>459</v>
      </c>
      <c r="AC765" s="1" t="s">
        <v>4564</v>
      </c>
      <c r="AD765" s="1" t="s">
        <v>4565</v>
      </c>
      <c r="AE765" s="1" t="s">
        <v>49</v>
      </c>
      <c r="AG765" s="1">
        <v>6807900</v>
      </c>
    </row>
    <row r="766" spans="3:33" s="1" customFormat="1" x14ac:dyDescent="0.25">
      <c r="C766" s="1" t="s">
        <v>4566</v>
      </c>
      <c r="D766" s="1" t="s">
        <v>4555</v>
      </c>
      <c r="E766" s="1" t="s">
        <v>4567</v>
      </c>
      <c r="F766" s="13" t="s">
        <v>6952</v>
      </c>
      <c r="G766" s="1" t="s">
        <v>1771</v>
      </c>
      <c r="H766" s="1" t="s">
        <v>82</v>
      </c>
      <c r="I766" s="1">
        <v>672</v>
      </c>
      <c r="J766" s="1" t="s">
        <v>46</v>
      </c>
      <c r="M766" s="1" t="s">
        <v>2486</v>
      </c>
      <c r="N766" s="1" t="s">
        <v>48</v>
      </c>
      <c r="O766" s="9">
        <v>4</v>
      </c>
      <c r="P766" s="1">
        <f>ROUNDUP(1530.4*(1-$F$3),2)</f>
        <v>1530.4</v>
      </c>
      <c r="Q766" s="1" t="s">
        <v>49</v>
      </c>
      <c r="R766" s="1" t="s">
        <v>4568</v>
      </c>
      <c r="S766" s="1" t="s">
        <v>4569</v>
      </c>
      <c r="T766" s="9">
        <v>10</v>
      </c>
      <c r="U766" s="1">
        <f>ROUNDUP(1391.27*(1-$F$3),2)</f>
        <v>1391.27</v>
      </c>
      <c r="V766" s="1">
        <v>1006.9999999999999</v>
      </c>
      <c r="W766" s="1" t="s">
        <v>4570</v>
      </c>
      <c r="X766" s="1" t="s">
        <v>4571</v>
      </c>
      <c r="Y766" s="1" t="s">
        <v>4572</v>
      </c>
      <c r="AA766" s="12">
        <v>41911</v>
      </c>
      <c r="AB766" s="1" t="s">
        <v>234</v>
      </c>
      <c r="AC766" s="1" t="s">
        <v>235</v>
      </c>
      <c r="AD766" s="1" t="s">
        <v>1264</v>
      </c>
      <c r="AE766" s="1" t="s">
        <v>49</v>
      </c>
      <c r="AG766" s="1">
        <v>6457490</v>
      </c>
    </row>
    <row r="767" spans="3:33" s="1" customFormat="1" x14ac:dyDescent="0.25">
      <c r="C767" s="1" t="s">
        <v>4573</v>
      </c>
      <c r="D767" s="1" t="s">
        <v>4555</v>
      </c>
      <c r="E767" s="1" t="s">
        <v>4574</v>
      </c>
      <c r="F767" s="13" t="s">
        <v>6952</v>
      </c>
      <c r="G767" s="1" t="s">
        <v>4575</v>
      </c>
      <c r="H767" s="1" t="s">
        <v>61</v>
      </c>
      <c r="I767" s="1">
        <v>288</v>
      </c>
      <c r="J767" s="1" t="s">
        <v>46</v>
      </c>
      <c r="M767" s="1" t="s">
        <v>4576</v>
      </c>
      <c r="N767" s="1" t="s">
        <v>48</v>
      </c>
      <c r="O767" s="9">
        <v>14</v>
      </c>
      <c r="P767" s="1">
        <f>ROUNDUP(747.6*(1-$F$3),2)</f>
        <v>747.6</v>
      </c>
      <c r="Q767" s="1" t="s">
        <v>49</v>
      </c>
      <c r="R767" s="1" t="s">
        <v>4577</v>
      </c>
      <c r="S767" s="1" t="s">
        <v>4578</v>
      </c>
      <c r="T767" s="9">
        <v>10</v>
      </c>
      <c r="U767" s="1">
        <f>ROUNDUP(679.64*(1-$F$3),2)</f>
        <v>679.64</v>
      </c>
      <c r="V767" s="1">
        <v>411</v>
      </c>
      <c r="W767" s="1" t="s">
        <v>2313</v>
      </c>
      <c r="X767" s="1" t="s">
        <v>2314</v>
      </c>
      <c r="Y767" s="1" t="s">
        <v>4579</v>
      </c>
      <c r="Z767" s="1" t="s">
        <v>53</v>
      </c>
      <c r="AA767" s="12">
        <v>42229</v>
      </c>
      <c r="AB767" s="1" t="s">
        <v>66</v>
      </c>
      <c r="AC767" s="1" t="s">
        <v>143</v>
      </c>
      <c r="AD767" s="1" t="s">
        <v>144</v>
      </c>
      <c r="AE767" s="1" t="s">
        <v>49</v>
      </c>
      <c r="AG767" s="1">
        <v>6854710</v>
      </c>
    </row>
    <row r="768" spans="3:33" s="1" customFormat="1" x14ac:dyDescent="0.25">
      <c r="C768" s="1" t="s">
        <v>4580</v>
      </c>
      <c r="D768" s="1" t="s">
        <v>4581</v>
      </c>
      <c r="E768" s="1" t="s">
        <v>887</v>
      </c>
      <c r="F768" s="13" t="s">
        <v>6952</v>
      </c>
      <c r="G768" s="1" t="s">
        <v>888</v>
      </c>
      <c r="H768" s="1" t="s">
        <v>160</v>
      </c>
      <c r="I768" s="1">
        <v>302</v>
      </c>
      <c r="J768" s="1" t="s">
        <v>46</v>
      </c>
      <c r="M768" s="1" t="s">
        <v>756</v>
      </c>
      <c r="N768" s="1" t="s">
        <v>48</v>
      </c>
      <c r="O768" s="9">
        <v>10</v>
      </c>
      <c r="P768" s="1">
        <f>ROUNDUP(1100*(1-$F$3),2)</f>
        <v>1100</v>
      </c>
      <c r="Q768" s="1" t="s">
        <v>49</v>
      </c>
      <c r="R768" s="1" t="s">
        <v>4582</v>
      </c>
      <c r="S768" s="1" t="s">
        <v>4583</v>
      </c>
      <c r="T768" s="9">
        <v>10</v>
      </c>
      <c r="U768" s="1">
        <f>ROUNDUP(1000*(1-$F$3),2)</f>
        <v>1000</v>
      </c>
      <c r="V768" s="1">
        <v>351</v>
      </c>
      <c r="Y768" s="1" t="s">
        <v>891</v>
      </c>
      <c r="Z768" s="1" t="s">
        <v>53</v>
      </c>
      <c r="AA768" s="12">
        <v>44208</v>
      </c>
      <c r="AB768" s="1" t="s">
        <v>334</v>
      </c>
      <c r="AC768" s="1" t="s">
        <v>892</v>
      </c>
      <c r="AD768" s="1" t="s">
        <v>893</v>
      </c>
      <c r="AE768" s="1" t="s">
        <v>69</v>
      </c>
      <c r="AG768" s="1">
        <v>9589820</v>
      </c>
    </row>
    <row r="769" spans="1:33" s="1" customFormat="1" x14ac:dyDescent="0.25">
      <c r="C769" s="1" t="s">
        <v>4584</v>
      </c>
      <c r="D769" s="1" t="s">
        <v>4585</v>
      </c>
      <c r="E769" s="1" t="s">
        <v>4586</v>
      </c>
      <c r="F769" s="13" t="s">
        <v>6952</v>
      </c>
      <c r="G769" s="1" t="s">
        <v>4587</v>
      </c>
      <c r="H769" s="1" t="s">
        <v>61</v>
      </c>
      <c r="I769" s="1">
        <v>288</v>
      </c>
      <c r="J769" s="1" t="s">
        <v>46</v>
      </c>
      <c r="K769" s="1" t="s">
        <v>4588</v>
      </c>
      <c r="M769" s="1" t="s">
        <v>47</v>
      </c>
      <c r="N769" s="1" t="s">
        <v>48</v>
      </c>
      <c r="O769" s="9">
        <v>12</v>
      </c>
      <c r="P769" s="1">
        <f>ROUNDUP(940*(1-$F$3),2)</f>
        <v>940</v>
      </c>
      <c r="Q769" s="1" t="s">
        <v>49</v>
      </c>
      <c r="R769" s="1" t="s">
        <v>4589</v>
      </c>
      <c r="S769" s="1" t="s">
        <v>4590</v>
      </c>
      <c r="T769" s="9">
        <v>10</v>
      </c>
      <c r="U769" s="1">
        <f>ROUNDUP(854.55*(1-$F$3),2)</f>
        <v>854.55</v>
      </c>
      <c r="V769" s="1">
        <v>404</v>
      </c>
      <c r="Y769" s="1" t="s">
        <v>4591</v>
      </c>
      <c r="Z769" s="1" t="s">
        <v>53</v>
      </c>
      <c r="AA769" s="12">
        <v>45879</v>
      </c>
      <c r="AB769" s="1" t="s">
        <v>66</v>
      </c>
      <c r="AC769" s="1" t="s">
        <v>67</v>
      </c>
      <c r="AD769" s="1" t="s">
        <v>180</v>
      </c>
      <c r="AE769" s="1" t="s">
        <v>69</v>
      </c>
      <c r="AG769" s="1">
        <v>11825970</v>
      </c>
    </row>
    <row r="770" spans="1:33" s="1" customFormat="1" x14ac:dyDescent="0.25">
      <c r="C770" s="1" t="s">
        <v>4592</v>
      </c>
      <c r="D770" s="1" t="s">
        <v>4593</v>
      </c>
      <c r="E770" s="1" t="s">
        <v>4594</v>
      </c>
      <c r="F770" s="13" t="s">
        <v>6952</v>
      </c>
      <c r="G770" s="1" t="s">
        <v>4595</v>
      </c>
      <c r="H770" s="1" t="s">
        <v>160</v>
      </c>
      <c r="I770" s="1">
        <v>560</v>
      </c>
      <c r="J770" s="1" t="s">
        <v>46</v>
      </c>
      <c r="M770" s="1" t="s">
        <v>169</v>
      </c>
      <c r="N770" s="1" t="s">
        <v>48</v>
      </c>
      <c r="O770" s="9">
        <v>8</v>
      </c>
      <c r="P770" s="1">
        <f>ROUNDUP(1750*(1-$F$3),2)</f>
        <v>1750</v>
      </c>
      <c r="Q770" s="1" t="s">
        <v>49</v>
      </c>
      <c r="R770" s="1" t="s">
        <v>4596</v>
      </c>
      <c r="S770" s="1" t="s">
        <v>4597</v>
      </c>
      <c r="T770" s="9">
        <v>10</v>
      </c>
      <c r="U770" s="1">
        <f>ROUNDUP(1590.91*(1-$F$3),2)</f>
        <v>1590.91</v>
      </c>
      <c r="V770" s="1">
        <v>574</v>
      </c>
      <c r="Y770" s="1" t="s">
        <v>4598</v>
      </c>
      <c r="Z770" s="1" t="s">
        <v>128</v>
      </c>
      <c r="AA770" s="12">
        <v>44356</v>
      </c>
      <c r="AB770" s="1" t="s">
        <v>445</v>
      </c>
      <c r="AC770" s="1" t="s">
        <v>446</v>
      </c>
      <c r="AD770" s="1" t="s">
        <v>4599</v>
      </c>
      <c r="AE770" s="1" t="s">
        <v>69</v>
      </c>
      <c r="AG770" s="1">
        <v>9691070</v>
      </c>
    </row>
    <row r="771" spans="1:33" s="1" customFormat="1" x14ac:dyDescent="0.25">
      <c r="C771" s="1" t="s">
        <v>4600</v>
      </c>
      <c r="D771" s="1" t="s">
        <v>4593</v>
      </c>
      <c r="E771" s="1" t="s">
        <v>4601</v>
      </c>
      <c r="F771" s="13" t="s">
        <v>6952</v>
      </c>
      <c r="G771" s="1" t="s">
        <v>4602</v>
      </c>
      <c r="H771" s="1" t="s">
        <v>160</v>
      </c>
      <c r="I771" s="1">
        <v>864</v>
      </c>
      <c r="J771" s="1" t="s">
        <v>46</v>
      </c>
      <c r="M771" s="1" t="s">
        <v>756</v>
      </c>
      <c r="N771" s="1" t="s">
        <v>48</v>
      </c>
      <c r="O771" s="9">
        <v>4</v>
      </c>
      <c r="P771" s="1">
        <f>ROUNDUP(1580*(1-$F$3),2)</f>
        <v>1580</v>
      </c>
      <c r="Q771" s="1" t="s">
        <v>49</v>
      </c>
      <c r="R771" s="1" t="s">
        <v>4603</v>
      </c>
      <c r="S771" s="1" t="s">
        <v>4604</v>
      </c>
      <c r="T771" s="9">
        <v>10</v>
      </c>
      <c r="U771" s="1">
        <f>ROUNDUP(1436.36*(1-$F$3),2)</f>
        <v>1436.36</v>
      </c>
      <c r="V771" s="1">
        <v>801</v>
      </c>
      <c r="Y771" s="1" t="s">
        <v>4605</v>
      </c>
      <c r="Z771" s="1" t="s">
        <v>76</v>
      </c>
      <c r="AA771" s="12">
        <v>44557</v>
      </c>
      <c r="AB771" s="1" t="s">
        <v>445</v>
      </c>
      <c r="AC771" s="1" t="s">
        <v>446</v>
      </c>
      <c r="AD771" s="1" t="s">
        <v>4599</v>
      </c>
      <c r="AE771" s="1" t="s">
        <v>69</v>
      </c>
      <c r="AG771" s="1">
        <v>9972930</v>
      </c>
    </row>
    <row r="772" spans="1:33" s="1" customFormat="1" x14ac:dyDescent="0.25">
      <c r="C772" s="1" t="s">
        <v>4606</v>
      </c>
      <c r="D772" s="1" t="s">
        <v>4607</v>
      </c>
      <c r="E772" s="1" t="s">
        <v>4608</v>
      </c>
      <c r="F772" s="13" t="s">
        <v>6952</v>
      </c>
      <c r="G772" s="1" t="s">
        <v>2324</v>
      </c>
      <c r="H772" s="1" t="s">
        <v>61</v>
      </c>
      <c r="I772" s="1">
        <v>528</v>
      </c>
      <c r="J772" s="1" t="s">
        <v>46</v>
      </c>
      <c r="M772" s="1" t="s">
        <v>2310</v>
      </c>
      <c r="N772" s="1" t="s">
        <v>48</v>
      </c>
      <c r="O772" s="9"/>
      <c r="P772" s="1">
        <f>ROUNDUP(1030*(1-$F$3),2)</f>
        <v>1030</v>
      </c>
      <c r="Q772" s="1" t="s">
        <v>49</v>
      </c>
      <c r="R772" s="1" t="s">
        <v>4609</v>
      </c>
      <c r="S772" s="1" t="s">
        <v>4610</v>
      </c>
      <c r="T772" s="9">
        <v>10</v>
      </c>
      <c r="U772" s="1">
        <f>ROUNDUP(936.36*(1-$F$3),2)</f>
        <v>936.36</v>
      </c>
      <c r="V772" s="1">
        <v>731</v>
      </c>
      <c r="Y772" s="1" t="s">
        <v>4611</v>
      </c>
      <c r="Z772" s="1" t="s">
        <v>53</v>
      </c>
      <c r="AA772" s="12">
        <v>43613</v>
      </c>
      <c r="AB772" s="1" t="s">
        <v>66</v>
      </c>
      <c r="AC772" s="1" t="s">
        <v>143</v>
      </c>
      <c r="AD772" s="1" t="s">
        <v>847</v>
      </c>
      <c r="AE772" s="1" t="s">
        <v>69</v>
      </c>
      <c r="AG772" s="1">
        <v>9051780</v>
      </c>
    </row>
    <row r="773" spans="1:33" s="1" customFormat="1" x14ac:dyDescent="0.25">
      <c r="C773" s="1" t="s">
        <v>4612</v>
      </c>
      <c r="D773" s="1" t="s">
        <v>4607</v>
      </c>
      <c r="E773" s="1" t="s">
        <v>4613</v>
      </c>
      <c r="F773" s="13" t="s">
        <v>6952</v>
      </c>
      <c r="G773" s="1" t="s">
        <v>4614</v>
      </c>
      <c r="H773" s="1" t="s">
        <v>61</v>
      </c>
      <c r="I773" s="1">
        <v>784</v>
      </c>
      <c r="J773" s="1" t="s">
        <v>46</v>
      </c>
      <c r="M773" s="1" t="s">
        <v>2310</v>
      </c>
      <c r="N773" s="1" t="s">
        <v>48</v>
      </c>
      <c r="O773" s="9"/>
      <c r="P773" s="1">
        <f>ROUNDUP(1030*(1-$F$3),2)</f>
        <v>1030</v>
      </c>
      <c r="Q773" s="1" t="s">
        <v>49</v>
      </c>
      <c r="R773" s="1" t="s">
        <v>4615</v>
      </c>
      <c r="S773" s="1" t="s">
        <v>4616</v>
      </c>
      <c r="T773" s="9">
        <v>10</v>
      </c>
      <c r="U773" s="1">
        <f>ROUNDUP(936.36*(1-$F$3),2)</f>
        <v>936.36</v>
      </c>
      <c r="V773" s="1">
        <v>1018.9999999999999</v>
      </c>
      <c r="Y773" s="1" t="s">
        <v>4617</v>
      </c>
      <c r="Z773" s="1" t="s">
        <v>53</v>
      </c>
      <c r="AA773" s="12">
        <v>43601</v>
      </c>
      <c r="AB773" s="1" t="s">
        <v>66</v>
      </c>
      <c r="AC773" s="1" t="s">
        <v>143</v>
      </c>
      <c r="AD773" s="1" t="s">
        <v>847</v>
      </c>
      <c r="AE773" s="1" t="s">
        <v>69</v>
      </c>
      <c r="AG773" s="1">
        <v>9038060</v>
      </c>
    </row>
    <row r="774" spans="1:33" s="1" customFormat="1" x14ac:dyDescent="0.25">
      <c r="C774" s="1" t="s">
        <v>4618</v>
      </c>
      <c r="D774" s="1" t="s">
        <v>4607</v>
      </c>
      <c r="E774" s="1" t="s">
        <v>4619</v>
      </c>
      <c r="F774" s="13" t="s">
        <v>6952</v>
      </c>
      <c r="G774" s="1" t="s">
        <v>4620</v>
      </c>
      <c r="H774" s="1" t="s">
        <v>61</v>
      </c>
      <c r="I774" s="1">
        <v>592</v>
      </c>
      <c r="J774" s="1" t="s">
        <v>46</v>
      </c>
      <c r="M774" s="1" t="s">
        <v>2310</v>
      </c>
      <c r="N774" s="1" t="s">
        <v>48</v>
      </c>
      <c r="O774" s="9"/>
      <c r="P774" s="1">
        <f>ROUNDUP(1180*(1-$F$3),2)</f>
        <v>1180</v>
      </c>
      <c r="Q774" s="1" t="s">
        <v>49</v>
      </c>
      <c r="R774" s="1" t="s">
        <v>4621</v>
      </c>
      <c r="S774" s="1" t="s">
        <v>4622</v>
      </c>
      <c r="T774" s="9">
        <v>10</v>
      </c>
      <c r="U774" s="1">
        <f>ROUNDUP(1072.73*(1-$F$3),2)</f>
        <v>1072.73</v>
      </c>
      <c r="V774" s="1">
        <v>819</v>
      </c>
      <c r="Y774" s="1" t="s">
        <v>4623</v>
      </c>
      <c r="Z774" s="1" t="s">
        <v>53</v>
      </c>
      <c r="AA774" s="12">
        <v>43609</v>
      </c>
      <c r="AB774" s="1" t="s">
        <v>66</v>
      </c>
      <c r="AC774" s="1" t="s">
        <v>143</v>
      </c>
      <c r="AD774" s="1" t="s">
        <v>847</v>
      </c>
      <c r="AE774" s="1" t="s">
        <v>69</v>
      </c>
      <c r="AG774" s="1">
        <v>9051830</v>
      </c>
    </row>
    <row r="775" spans="1:33" s="1" customFormat="1" x14ac:dyDescent="0.25">
      <c r="C775" s="1" t="s">
        <v>4624</v>
      </c>
      <c r="D775" s="1" t="s">
        <v>4607</v>
      </c>
      <c r="E775" s="1" t="s">
        <v>4625</v>
      </c>
      <c r="F775" s="13" t="s">
        <v>6952</v>
      </c>
      <c r="H775" s="1" t="s">
        <v>3426</v>
      </c>
      <c r="I775" s="1">
        <v>915</v>
      </c>
      <c r="J775" s="1" t="s">
        <v>46</v>
      </c>
      <c r="M775" s="1" t="s">
        <v>1994</v>
      </c>
      <c r="N775" s="1" t="s">
        <v>48</v>
      </c>
      <c r="O775" s="9"/>
      <c r="P775" s="1">
        <f>ROUNDUP(4860*(1-$F$3),2)</f>
        <v>4860</v>
      </c>
      <c r="Q775" s="1" t="s">
        <v>49</v>
      </c>
      <c r="R775" s="1" t="s">
        <v>4626</v>
      </c>
      <c r="S775" s="1" t="s">
        <v>4627</v>
      </c>
      <c r="T775" s="9">
        <v>10</v>
      </c>
      <c r="U775" s="1">
        <f>ROUNDUP(4418.18*(1-$F$3),2)</f>
        <v>4418.18</v>
      </c>
      <c r="V775" s="1">
        <v>3643</v>
      </c>
      <c r="Y775" s="1" t="s">
        <v>4628</v>
      </c>
      <c r="Z775" s="1" t="s">
        <v>128</v>
      </c>
      <c r="AA775" s="12">
        <v>43623</v>
      </c>
      <c r="AB775" s="1" t="s">
        <v>459</v>
      </c>
      <c r="AC775" s="1" t="s">
        <v>3259</v>
      </c>
      <c r="AD775" s="1" t="s">
        <v>3816</v>
      </c>
      <c r="AE775" s="1" t="s">
        <v>57</v>
      </c>
      <c r="AG775" s="1">
        <v>9072400</v>
      </c>
    </row>
    <row r="776" spans="1:33" s="1" customFormat="1" x14ac:dyDescent="0.25">
      <c r="C776" s="1" t="s">
        <v>4629</v>
      </c>
      <c r="D776" s="1" t="s">
        <v>4630</v>
      </c>
      <c r="E776" s="1" t="s">
        <v>1738</v>
      </c>
      <c r="F776" s="13" t="s">
        <v>6952</v>
      </c>
      <c r="G776" s="1" t="s">
        <v>888</v>
      </c>
      <c r="H776" s="1" t="s">
        <v>82</v>
      </c>
      <c r="I776" s="1">
        <v>768</v>
      </c>
      <c r="J776" s="1" t="s">
        <v>46</v>
      </c>
      <c r="M776" s="1" t="s">
        <v>47</v>
      </c>
      <c r="N776" s="1" t="s">
        <v>48</v>
      </c>
      <c r="O776" s="9">
        <v>3</v>
      </c>
      <c r="P776" s="1">
        <f>ROUNDUP(2740*(1-$F$3),2)</f>
        <v>2740</v>
      </c>
      <c r="Q776" s="1" t="s">
        <v>49</v>
      </c>
      <c r="R776" s="1" t="s">
        <v>4631</v>
      </c>
      <c r="S776" s="1" t="s">
        <v>4632</v>
      </c>
      <c r="T776" s="9">
        <v>10</v>
      </c>
      <c r="U776" s="1">
        <f>ROUNDUP(2490.91*(1-$F$3),2)</f>
        <v>2490.91</v>
      </c>
      <c r="V776" s="1">
        <v>1164</v>
      </c>
      <c r="Y776" s="1" t="s">
        <v>1741</v>
      </c>
      <c r="Z776" s="1" t="s">
        <v>53</v>
      </c>
      <c r="AA776" s="12">
        <v>45811</v>
      </c>
      <c r="AB776" s="1" t="s">
        <v>334</v>
      </c>
      <c r="AC776" s="1" t="s">
        <v>892</v>
      </c>
      <c r="AD776" s="1" t="s">
        <v>893</v>
      </c>
      <c r="AE776" s="1" t="s">
        <v>69</v>
      </c>
      <c r="AG776" s="1">
        <v>11693680</v>
      </c>
    </row>
    <row r="777" spans="1:33" s="1" customFormat="1" x14ac:dyDescent="0.25">
      <c r="C777" s="1" t="s">
        <v>4633</v>
      </c>
      <c r="D777" s="1" t="s">
        <v>4630</v>
      </c>
      <c r="E777" s="1" t="s">
        <v>1738</v>
      </c>
      <c r="F777" s="13" t="s">
        <v>6952</v>
      </c>
      <c r="G777" s="1" t="s">
        <v>888</v>
      </c>
      <c r="H777" s="1" t="s">
        <v>82</v>
      </c>
      <c r="I777" s="1">
        <v>768</v>
      </c>
      <c r="J777" s="1" t="s">
        <v>46</v>
      </c>
      <c r="M777" s="1" t="s">
        <v>47</v>
      </c>
      <c r="N777" s="1" t="s">
        <v>48</v>
      </c>
      <c r="O777" s="9">
        <v>3</v>
      </c>
      <c r="P777" s="1">
        <f>ROUNDUP(2590*(1-$F$3),2)</f>
        <v>2590</v>
      </c>
      <c r="Q777" s="1" t="s">
        <v>49</v>
      </c>
      <c r="R777" s="1" t="s">
        <v>4634</v>
      </c>
      <c r="S777" s="1" t="s">
        <v>4635</v>
      </c>
      <c r="T777" s="9">
        <v>10</v>
      </c>
      <c r="U777" s="1">
        <f>ROUNDUP(2354.55*(1-$F$3),2)</f>
        <v>2354.5500000000002</v>
      </c>
      <c r="V777" s="1">
        <v>1342</v>
      </c>
      <c r="Y777" s="1" t="s">
        <v>1741</v>
      </c>
      <c r="Z777" s="1" t="s">
        <v>53</v>
      </c>
      <c r="AA777" s="12">
        <v>45243</v>
      </c>
      <c r="AB777" s="1" t="s">
        <v>334</v>
      </c>
      <c r="AC777" s="1" t="s">
        <v>892</v>
      </c>
      <c r="AD777" s="1" t="s">
        <v>893</v>
      </c>
      <c r="AE777" s="1" t="s">
        <v>69</v>
      </c>
      <c r="AG777" s="1">
        <v>11095730</v>
      </c>
    </row>
    <row r="778" spans="1:33" s="1" customFormat="1" x14ac:dyDescent="0.25">
      <c r="C778" s="1" t="s">
        <v>4636</v>
      </c>
      <c r="D778" s="1" t="s">
        <v>4630</v>
      </c>
      <c r="E778" s="1" t="s">
        <v>4637</v>
      </c>
      <c r="F778" s="13" t="s">
        <v>6952</v>
      </c>
      <c r="G778" s="1" t="s">
        <v>1771</v>
      </c>
      <c r="H778" s="1" t="s">
        <v>82</v>
      </c>
      <c r="I778" s="1">
        <v>560</v>
      </c>
      <c r="J778" s="1" t="s">
        <v>46</v>
      </c>
      <c r="M778" s="1" t="s">
        <v>987</v>
      </c>
      <c r="N778" s="1" t="s">
        <v>48</v>
      </c>
      <c r="O778" s="9">
        <v>4</v>
      </c>
      <c r="P778" s="1">
        <f>ROUNDUP(2640*(1-$F$3),2)</f>
        <v>2640</v>
      </c>
      <c r="Q778" s="1" t="s">
        <v>49</v>
      </c>
      <c r="R778" s="1" t="s">
        <v>4638</v>
      </c>
      <c r="S778" s="1" t="s">
        <v>4639</v>
      </c>
      <c r="T778" s="9">
        <v>10</v>
      </c>
      <c r="U778" s="1">
        <f>ROUNDUP(2400*(1-$F$3),2)</f>
        <v>2400</v>
      </c>
      <c r="V778" s="1">
        <v>1041</v>
      </c>
      <c r="Y778" s="1" t="s">
        <v>4640</v>
      </c>
      <c r="Z778" s="1" t="s">
        <v>128</v>
      </c>
      <c r="AA778" s="12">
        <v>43074</v>
      </c>
      <c r="AB778" s="1" t="s">
        <v>334</v>
      </c>
      <c r="AC778" s="1" t="s">
        <v>892</v>
      </c>
      <c r="AD778" s="1" t="s">
        <v>1775</v>
      </c>
      <c r="AE778" s="1" t="s">
        <v>69</v>
      </c>
      <c r="AG778" s="1">
        <v>8360960</v>
      </c>
    </row>
    <row r="779" spans="1:33" s="1" customFormat="1" x14ac:dyDescent="0.25">
      <c r="C779" s="1" t="s">
        <v>4641</v>
      </c>
      <c r="D779" s="1" t="s">
        <v>4642</v>
      </c>
      <c r="E779" s="1" t="s">
        <v>4643</v>
      </c>
      <c r="F779" s="13" t="s">
        <v>6952</v>
      </c>
      <c r="G779" s="1" t="s">
        <v>4644</v>
      </c>
      <c r="H779" s="1" t="s">
        <v>61</v>
      </c>
      <c r="I779" s="1">
        <v>328</v>
      </c>
      <c r="J779" s="1" t="s">
        <v>46</v>
      </c>
      <c r="M779" s="1" t="s">
        <v>1061</v>
      </c>
      <c r="N779" s="1" t="s">
        <v>139</v>
      </c>
      <c r="O779" s="9">
        <v>12</v>
      </c>
      <c r="P779" s="1">
        <f>ROUNDUP(930*(1-$F$3),2)</f>
        <v>930</v>
      </c>
      <c r="Q779" s="1" t="s">
        <v>49</v>
      </c>
      <c r="R779" s="1" t="s">
        <v>4645</v>
      </c>
      <c r="S779" s="1" t="s">
        <v>4646</v>
      </c>
      <c r="T779" s="9">
        <v>10</v>
      </c>
      <c r="U779" s="1">
        <f>ROUNDUP(845.45*(1-$F$3),2)</f>
        <v>845.45</v>
      </c>
      <c r="V779" s="1">
        <v>354</v>
      </c>
      <c r="Y779" s="1" t="s">
        <v>4647</v>
      </c>
      <c r="Z779" s="1" t="s">
        <v>76</v>
      </c>
      <c r="AA779" s="12">
        <v>43749</v>
      </c>
      <c r="AB779" s="1" t="s">
        <v>95</v>
      </c>
      <c r="AC779" s="1" t="s">
        <v>453</v>
      </c>
      <c r="AD779" s="1" t="s">
        <v>3888</v>
      </c>
      <c r="AE779" s="1" t="s">
        <v>69</v>
      </c>
      <c r="AG779" s="1">
        <v>9194200</v>
      </c>
    </row>
    <row r="780" spans="1:33" s="1" customFormat="1" x14ac:dyDescent="0.25">
      <c r="C780" s="1" t="s">
        <v>4648</v>
      </c>
      <c r="D780" s="1" t="s">
        <v>4649</v>
      </c>
      <c r="E780" s="1" t="s">
        <v>4650</v>
      </c>
      <c r="F780" s="13" t="s">
        <v>6952</v>
      </c>
      <c r="G780" s="1" t="s">
        <v>4651</v>
      </c>
      <c r="H780" s="1" t="s">
        <v>61</v>
      </c>
      <c r="I780" s="1">
        <v>512</v>
      </c>
      <c r="J780" s="1" t="s">
        <v>46</v>
      </c>
      <c r="M780" s="1" t="s">
        <v>1061</v>
      </c>
      <c r="N780" s="1" t="s">
        <v>48</v>
      </c>
      <c r="O780" s="9">
        <v>8</v>
      </c>
      <c r="P780" s="1">
        <f>ROUNDUP(1430*(1-$F$3),2)</f>
        <v>1430</v>
      </c>
      <c r="Q780" s="1" t="s">
        <v>49</v>
      </c>
      <c r="R780" s="1" t="s">
        <v>4652</v>
      </c>
      <c r="S780" s="1" t="s">
        <v>4653</v>
      </c>
      <c r="T780" s="9">
        <v>10</v>
      </c>
      <c r="U780" s="1">
        <f>ROUNDUP(1300*(1-$F$3),2)</f>
        <v>1300</v>
      </c>
      <c r="V780" s="1">
        <v>651</v>
      </c>
      <c r="Y780" s="1" t="s">
        <v>4654</v>
      </c>
      <c r="Z780" s="1" t="s">
        <v>53</v>
      </c>
      <c r="AA780" s="12">
        <v>43208</v>
      </c>
      <c r="AB780" s="1" t="s">
        <v>66</v>
      </c>
      <c r="AC780" s="1" t="s">
        <v>67</v>
      </c>
      <c r="AD780" s="1" t="s">
        <v>670</v>
      </c>
      <c r="AE780" s="1" t="s">
        <v>69</v>
      </c>
      <c r="AG780" s="1">
        <v>8606860</v>
      </c>
    </row>
    <row r="781" spans="1:33" s="11" customFormat="1" x14ac:dyDescent="0.25">
      <c r="A781" s="11" t="s">
        <v>6953</v>
      </c>
      <c r="C781" s="11" t="s">
        <v>4655</v>
      </c>
      <c r="D781" s="11" t="s">
        <v>4656</v>
      </c>
      <c r="E781" s="11" t="s">
        <v>4657</v>
      </c>
      <c r="F781" s="14" t="s">
        <v>6952</v>
      </c>
      <c r="G781" s="11" t="s">
        <v>4658</v>
      </c>
      <c r="H781" s="11" t="s">
        <v>160</v>
      </c>
      <c r="I781" s="11">
        <v>384</v>
      </c>
      <c r="J781" s="11" t="s">
        <v>46</v>
      </c>
      <c r="M781" s="11" t="s">
        <v>62</v>
      </c>
      <c r="N781" s="11" t="s">
        <v>48</v>
      </c>
      <c r="O781" s="23">
        <v>10</v>
      </c>
      <c r="P781" s="11">
        <f>ROUNDUP(1190*(1-$F$3),2)</f>
        <v>1190</v>
      </c>
      <c r="Q781" s="11" t="s">
        <v>49</v>
      </c>
      <c r="R781" s="11" t="s">
        <v>4659</v>
      </c>
      <c r="S781" s="11" t="s">
        <v>4660</v>
      </c>
      <c r="T781" s="23">
        <v>10</v>
      </c>
      <c r="U781" s="11">
        <f>ROUNDUP(1081.82*(1-$F$3),2)</f>
        <v>1081.82</v>
      </c>
      <c r="V781" s="11">
        <v>488</v>
      </c>
      <c r="Y781" s="11" t="s">
        <v>4661</v>
      </c>
      <c r="Z781" s="11" t="s">
        <v>128</v>
      </c>
      <c r="AA781" s="15">
        <v>45351</v>
      </c>
      <c r="AB781" s="11" t="s">
        <v>66</v>
      </c>
      <c r="AC781" s="11" t="s">
        <v>104</v>
      </c>
      <c r="AD781" s="11" t="s">
        <v>105</v>
      </c>
      <c r="AE781" s="11" t="s">
        <v>69</v>
      </c>
      <c r="AG781" s="11">
        <v>11224810</v>
      </c>
    </row>
    <row r="782" spans="1:33" s="1" customFormat="1" x14ac:dyDescent="0.25">
      <c r="C782" s="1" t="s">
        <v>4662</v>
      </c>
      <c r="D782" s="1" t="s">
        <v>4656</v>
      </c>
      <c r="E782" s="1" t="s">
        <v>4663</v>
      </c>
      <c r="F782" s="13" t="s">
        <v>6952</v>
      </c>
      <c r="G782" s="1" t="s">
        <v>4658</v>
      </c>
      <c r="H782" s="1" t="s">
        <v>160</v>
      </c>
      <c r="I782" s="1">
        <v>352</v>
      </c>
      <c r="J782" s="1" t="s">
        <v>46</v>
      </c>
      <c r="M782" s="1" t="s">
        <v>62</v>
      </c>
      <c r="N782" s="1" t="s">
        <v>48</v>
      </c>
      <c r="O782" s="9">
        <v>6</v>
      </c>
      <c r="P782" s="1">
        <f>ROUNDUP(1110*(1-$F$3),2)</f>
        <v>1110</v>
      </c>
      <c r="Q782" s="1" t="s">
        <v>49</v>
      </c>
      <c r="R782" s="1" t="s">
        <v>4664</v>
      </c>
      <c r="S782" s="1" t="s">
        <v>4665</v>
      </c>
      <c r="T782" s="9">
        <v>10</v>
      </c>
      <c r="U782" s="1">
        <f>ROUNDUP(1009.09*(1-$F$3),2)</f>
        <v>1009.09</v>
      </c>
      <c r="V782" s="1">
        <v>466</v>
      </c>
      <c r="Y782" s="1" t="s">
        <v>4666</v>
      </c>
      <c r="Z782" s="1" t="s">
        <v>128</v>
      </c>
      <c r="AA782" s="12">
        <v>45005</v>
      </c>
      <c r="AB782" s="1" t="s">
        <v>66</v>
      </c>
      <c r="AC782" s="1" t="s">
        <v>104</v>
      </c>
      <c r="AD782" s="1" t="s">
        <v>105</v>
      </c>
      <c r="AE782" s="1" t="s">
        <v>69</v>
      </c>
      <c r="AG782" s="1">
        <v>10845060</v>
      </c>
    </row>
    <row r="783" spans="1:33" s="1" customFormat="1" x14ac:dyDescent="0.25">
      <c r="C783" s="1" t="s">
        <v>4667</v>
      </c>
      <c r="D783" s="1" t="s">
        <v>4668</v>
      </c>
      <c r="E783" s="1" t="s">
        <v>4669</v>
      </c>
      <c r="F783" s="13" t="s">
        <v>6952</v>
      </c>
      <c r="G783" s="1" t="s">
        <v>4670</v>
      </c>
      <c r="H783" s="1" t="s">
        <v>160</v>
      </c>
      <c r="I783" s="1">
        <v>320</v>
      </c>
      <c r="J783" s="1" t="s">
        <v>46</v>
      </c>
      <c r="M783" s="1" t="s">
        <v>756</v>
      </c>
      <c r="N783" s="1" t="s">
        <v>48</v>
      </c>
      <c r="O783" s="9">
        <v>14</v>
      </c>
      <c r="P783" s="1">
        <f>ROUNDUP(1020*(1-$F$3),2)</f>
        <v>1020</v>
      </c>
      <c r="Q783" s="1" t="s">
        <v>49</v>
      </c>
      <c r="R783" s="1" t="s">
        <v>4671</v>
      </c>
      <c r="S783" s="1" t="s">
        <v>4672</v>
      </c>
      <c r="T783" s="9">
        <v>10</v>
      </c>
      <c r="U783" s="1">
        <f>ROUNDUP(927.27*(1-$F$3),2)</f>
        <v>927.27</v>
      </c>
      <c r="V783" s="1">
        <v>345</v>
      </c>
      <c r="Y783" s="1" t="s">
        <v>4673</v>
      </c>
      <c r="Z783" s="1" t="s">
        <v>128</v>
      </c>
      <c r="AA783" s="12">
        <v>44389</v>
      </c>
      <c r="AB783" s="1" t="s">
        <v>66</v>
      </c>
      <c r="AC783" s="1" t="s">
        <v>104</v>
      </c>
      <c r="AD783" s="1" t="s">
        <v>105</v>
      </c>
      <c r="AE783" s="1" t="s">
        <v>69</v>
      </c>
      <c r="AG783" s="1">
        <v>9733320</v>
      </c>
    </row>
    <row r="784" spans="1:33" s="1" customFormat="1" x14ac:dyDescent="0.25">
      <c r="C784" s="1" t="s">
        <v>4674</v>
      </c>
      <c r="D784" s="1" t="s">
        <v>4668</v>
      </c>
      <c r="E784" s="1" t="s">
        <v>4675</v>
      </c>
      <c r="F784" s="13" t="s">
        <v>6952</v>
      </c>
      <c r="G784" s="1" t="s">
        <v>4676</v>
      </c>
      <c r="H784" s="1" t="s">
        <v>160</v>
      </c>
      <c r="I784" s="1">
        <v>304</v>
      </c>
      <c r="J784" s="1" t="s">
        <v>46</v>
      </c>
      <c r="M784" s="1" t="s">
        <v>756</v>
      </c>
      <c r="N784" s="1" t="s">
        <v>48</v>
      </c>
      <c r="O784" s="9">
        <v>10</v>
      </c>
      <c r="P784" s="1">
        <f>ROUNDUP(990*(1-$F$3),2)</f>
        <v>990</v>
      </c>
      <c r="Q784" s="1" t="s">
        <v>49</v>
      </c>
      <c r="R784" s="1" t="s">
        <v>4677</v>
      </c>
      <c r="S784" s="1" t="s">
        <v>4678</v>
      </c>
      <c r="T784" s="9">
        <v>10</v>
      </c>
      <c r="U784" s="1">
        <f>ROUNDUP(900*(1-$F$3),2)</f>
        <v>900</v>
      </c>
      <c r="V784" s="1">
        <v>341</v>
      </c>
      <c r="Y784" s="1" t="s">
        <v>4679</v>
      </c>
      <c r="Z784" s="1" t="s">
        <v>128</v>
      </c>
      <c r="AA784" s="12">
        <v>44388</v>
      </c>
      <c r="AB784" s="1" t="s">
        <v>66</v>
      </c>
      <c r="AC784" s="1" t="s">
        <v>104</v>
      </c>
      <c r="AD784" s="1" t="s">
        <v>105</v>
      </c>
      <c r="AE784" s="1" t="s">
        <v>69</v>
      </c>
      <c r="AG784" s="1">
        <v>9733300</v>
      </c>
    </row>
    <row r="785" spans="1:33" s="1" customFormat="1" x14ac:dyDescent="0.25">
      <c r="C785" s="1" t="s">
        <v>4680</v>
      </c>
      <c r="D785" s="1" t="s">
        <v>4668</v>
      </c>
      <c r="E785" s="1" t="s">
        <v>4681</v>
      </c>
      <c r="F785" s="13" t="s">
        <v>6952</v>
      </c>
      <c r="G785" s="1" t="s">
        <v>4676</v>
      </c>
      <c r="H785" s="1" t="s">
        <v>160</v>
      </c>
      <c r="I785" s="1">
        <v>272</v>
      </c>
      <c r="J785" s="1" t="s">
        <v>46</v>
      </c>
      <c r="M785" s="1" t="s">
        <v>47</v>
      </c>
      <c r="N785" s="1" t="s">
        <v>48</v>
      </c>
      <c r="O785" s="9">
        <v>7</v>
      </c>
      <c r="P785" s="1">
        <f>ROUNDUP(1100*(1-$F$3),2)</f>
        <v>1100</v>
      </c>
      <c r="Q785" s="1" t="s">
        <v>49</v>
      </c>
      <c r="R785" s="1" t="s">
        <v>4682</v>
      </c>
      <c r="S785" s="1" t="s">
        <v>4683</v>
      </c>
      <c r="T785" s="9">
        <v>10</v>
      </c>
      <c r="U785" s="1">
        <f>ROUNDUP(1000*(1-$F$3),2)</f>
        <v>1000</v>
      </c>
      <c r="V785" s="1">
        <v>321</v>
      </c>
      <c r="Y785" s="1" t="s">
        <v>4684</v>
      </c>
      <c r="Z785" s="1" t="s">
        <v>128</v>
      </c>
      <c r="AA785" s="12">
        <v>44388</v>
      </c>
      <c r="AB785" s="1" t="s">
        <v>66</v>
      </c>
      <c r="AC785" s="1" t="s">
        <v>104</v>
      </c>
      <c r="AD785" s="1" t="s">
        <v>105</v>
      </c>
      <c r="AE785" s="1" t="s">
        <v>69</v>
      </c>
      <c r="AG785" s="1">
        <v>9734040</v>
      </c>
    </row>
    <row r="786" spans="1:33" s="1" customFormat="1" x14ac:dyDescent="0.25">
      <c r="C786" s="1" t="s">
        <v>4685</v>
      </c>
      <c r="D786" s="1" t="s">
        <v>4668</v>
      </c>
      <c r="E786" s="1" t="s">
        <v>4686</v>
      </c>
      <c r="F786" s="13" t="s">
        <v>6952</v>
      </c>
      <c r="G786" s="1" t="s">
        <v>4687</v>
      </c>
      <c r="H786" s="1" t="s">
        <v>160</v>
      </c>
      <c r="I786" s="1">
        <v>240</v>
      </c>
      <c r="J786" s="1" t="s">
        <v>46</v>
      </c>
      <c r="M786" s="1" t="s">
        <v>62</v>
      </c>
      <c r="N786" s="1" t="s">
        <v>48</v>
      </c>
      <c r="O786" s="9">
        <v>10</v>
      </c>
      <c r="P786" s="1">
        <f>ROUNDUP(900*(1-$F$3),2)</f>
        <v>900</v>
      </c>
      <c r="Q786" s="1" t="s">
        <v>49</v>
      </c>
      <c r="R786" s="1" t="s">
        <v>4688</v>
      </c>
      <c r="S786" s="1" t="s">
        <v>4689</v>
      </c>
      <c r="T786" s="9">
        <v>10</v>
      </c>
      <c r="U786" s="1">
        <f>ROUNDUP(818.18*(1-$F$3),2)</f>
        <v>818.18</v>
      </c>
      <c r="V786" s="1">
        <v>299</v>
      </c>
      <c r="Y786" s="1" t="s">
        <v>4690</v>
      </c>
      <c r="AA786" s="12">
        <v>44403</v>
      </c>
      <c r="AB786" s="1" t="s">
        <v>66</v>
      </c>
      <c r="AC786" s="1" t="s">
        <v>104</v>
      </c>
      <c r="AD786" s="1" t="s">
        <v>1335</v>
      </c>
      <c r="AE786" s="1" t="s">
        <v>69</v>
      </c>
      <c r="AG786" s="1">
        <v>9750250</v>
      </c>
    </row>
    <row r="787" spans="1:33" s="1" customFormat="1" x14ac:dyDescent="0.25">
      <c r="C787" s="1" t="s">
        <v>4691</v>
      </c>
      <c r="D787" s="1" t="s">
        <v>4692</v>
      </c>
      <c r="E787" s="1" t="s">
        <v>4693</v>
      </c>
      <c r="F787" s="13" t="s">
        <v>6952</v>
      </c>
      <c r="G787" s="1" t="s">
        <v>4694</v>
      </c>
      <c r="H787" s="1" t="s">
        <v>82</v>
      </c>
      <c r="I787" s="1">
        <v>128</v>
      </c>
      <c r="J787" s="1" t="s">
        <v>46</v>
      </c>
      <c r="M787" s="1" t="s">
        <v>2486</v>
      </c>
      <c r="N787" s="1" t="s">
        <v>48</v>
      </c>
      <c r="O787" s="9">
        <v>12</v>
      </c>
      <c r="P787" s="1">
        <f>ROUNDUP(706.4*(1-$F$3),2)</f>
        <v>706.4</v>
      </c>
      <c r="Q787" s="1" t="s">
        <v>49</v>
      </c>
      <c r="R787" s="1" t="s">
        <v>4695</v>
      </c>
      <c r="S787" s="1" t="s">
        <v>4696</v>
      </c>
      <c r="T787" s="9">
        <v>10</v>
      </c>
      <c r="U787" s="1">
        <f>ROUNDUP(642.18*(1-$F$3),2)</f>
        <v>642.17999999999995</v>
      </c>
      <c r="V787" s="1">
        <v>426</v>
      </c>
      <c r="W787" s="1" t="s">
        <v>4697</v>
      </c>
      <c r="X787" s="1" t="s">
        <v>4698</v>
      </c>
      <c r="Y787" s="1" t="s">
        <v>4699</v>
      </c>
      <c r="AA787" s="12">
        <v>41701</v>
      </c>
      <c r="AB787" s="1" t="s">
        <v>459</v>
      </c>
      <c r="AC787" s="1" t="s">
        <v>2007</v>
      </c>
      <c r="AD787" s="1" t="s">
        <v>4700</v>
      </c>
      <c r="AE787" s="1" t="s">
        <v>49</v>
      </c>
      <c r="AG787" s="1">
        <v>6054250</v>
      </c>
    </row>
    <row r="788" spans="1:33" s="1" customFormat="1" x14ac:dyDescent="0.25">
      <c r="C788" s="1" t="s">
        <v>4701</v>
      </c>
      <c r="D788" s="1" t="s">
        <v>3307</v>
      </c>
      <c r="E788" s="1" t="s">
        <v>4702</v>
      </c>
      <c r="F788" s="13" t="s">
        <v>6952</v>
      </c>
      <c r="G788" s="1" t="s">
        <v>405</v>
      </c>
      <c r="H788" s="1" t="s">
        <v>61</v>
      </c>
      <c r="I788" s="1">
        <v>224</v>
      </c>
      <c r="J788" s="1" t="s">
        <v>46</v>
      </c>
      <c r="M788" s="1" t="s">
        <v>62</v>
      </c>
      <c r="N788" s="1" t="s">
        <v>48</v>
      </c>
      <c r="O788" s="9">
        <v>10</v>
      </c>
      <c r="P788" s="1">
        <f>ROUNDUP(990*(1-$F$3),2)</f>
        <v>990</v>
      </c>
      <c r="Q788" s="1" t="s">
        <v>49</v>
      </c>
      <c r="R788" s="1" t="s">
        <v>4703</v>
      </c>
      <c r="S788" s="1" t="s">
        <v>4704</v>
      </c>
      <c r="T788" s="9">
        <v>10</v>
      </c>
      <c r="U788" s="1">
        <f>ROUNDUP(900*(1-$F$3),2)</f>
        <v>900</v>
      </c>
      <c r="V788" s="1">
        <v>381</v>
      </c>
      <c r="Y788" s="1" t="s">
        <v>4705</v>
      </c>
      <c r="Z788" s="1" t="s">
        <v>711</v>
      </c>
      <c r="AA788" s="12">
        <v>42278</v>
      </c>
      <c r="AB788" s="1" t="s">
        <v>573</v>
      </c>
      <c r="AC788" s="1" t="s">
        <v>66</v>
      </c>
      <c r="AD788" s="1" t="s">
        <v>2738</v>
      </c>
      <c r="AE788" s="1" t="s">
        <v>69</v>
      </c>
      <c r="AG788" s="1">
        <v>7199580</v>
      </c>
    </row>
    <row r="789" spans="1:33" s="1" customFormat="1" x14ac:dyDescent="0.25">
      <c r="C789" s="1" t="s">
        <v>4706</v>
      </c>
      <c r="D789" s="1" t="s">
        <v>4707</v>
      </c>
      <c r="E789" s="1" t="s">
        <v>4708</v>
      </c>
      <c r="F789" s="13" t="s">
        <v>6952</v>
      </c>
      <c r="G789" s="1" t="s">
        <v>4709</v>
      </c>
      <c r="H789" s="1" t="s">
        <v>160</v>
      </c>
      <c r="I789" s="1">
        <v>384</v>
      </c>
      <c r="J789" s="1" t="s">
        <v>46</v>
      </c>
      <c r="M789" s="1" t="s">
        <v>835</v>
      </c>
      <c r="N789" s="1" t="s">
        <v>48</v>
      </c>
      <c r="O789" s="9">
        <v>8</v>
      </c>
      <c r="P789" s="1">
        <f>ROUNDUP(1100*(1-$F$3),2)</f>
        <v>1100</v>
      </c>
      <c r="Q789" s="1" t="s">
        <v>49</v>
      </c>
      <c r="R789" s="1" t="s">
        <v>4710</v>
      </c>
      <c r="S789" s="1" t="s">
        <v>4711</v>
      </c>
      <c r="T789" s="9">
        <v>10</v>
      </c>
      <c r="U789" s="1">
        <f>ROUNDUP(1000*(1-$F$3),2)</f>
        <v>1000</v>
      </c>
      <c r="V789" s="1">
        <v>423</v>
      </c>
      <c r="Y789" s="1" t="s">
        <v>4712</v>
      </c>
      <c r="Z789" s="1" t="s">
        <v>53</v>
      </c>
      <c r="AA789" s="12">
        <v>44146</v>
      </c>
      <c r="AB789" s="1" t="s">
        <v>66</v>
      </c>
      <c r="AC789" s="1" t="s">
        <v>77</v>
      </c>
      <c r="AD789" s="1" t="s">
        <v>78</v>
      </c>
      <c r="AE789" s="1" t="s">
        <v>69</v>
      </c>
      <c r="AG789" s="1">
        <v>9565540</v>
      </c>
    </row>
    <row r="790" spans="1:33" s="1" customFormat="1" x14ac:dyDescent="0.25">
      <c r="C790" s="1" t="s">
        <v>4713</v>
      </c>
      <c r="D790" s="1" t="s">
        <v>4714</v>
      </c>
      <c r="E790" s="1" t="s">
        <v>4715</v>
      </c>
      <c r="F790" s="13" t="s">
        <v>6952</v>
      </c>
      <c r="G790" s="1" t="s">
        <v>4716</v>
      </c>
      <c r="H790" s="1" t="s">
        <v>160</v>
      </c>
      <c r="I790" s="1">
        <v>192</v>
      </c>
      <c r="J790" s="1" t="s">
        <v>46</v>
      </c>
      <c r="M790" s="1" t="s">
        <v>835</v>
      </c>
      <c r="N790" s="1" t="s">
        <v>48</v>
      </c>
      <c r="O790" s="9">
        <v>14</v>
      </c>
      <c r="P790" s="1">
        <f>ROUNDUP(860*(1-$F$3),2)</f>
        <v>860</v>
      </c>
      <c r="Q790" s="1" t="s">
        <v>49</v>
      </c>
      <c r="R790" s="1" t="s">
        <v>4717</v>
      </c>
      <c r="S790" s="1" t="s">
        <v>4718</v>
      </c>
      <c r="T790" s="9">
        <v>10</v>
      </c>
      <c r="U790" s="1">
        <f>ROUNDUP(781.82*(1-$F$3),2)</f>
        <v>781.82</v>
      </c>
      <c r="V790" s="1">
        <v>257</v>
      </c>
      <c r="Y790" s="1" t="s">
        <v>4719</v>
      </c>
      <c r="Z790" s="1" t="s">
        <v>128</v>
      </c>
      <c r="AA790" s="12">
        <v>44144</v>
      </c>
      <c r="AB790" s="1" t="s">
        <v>219</v>
      </c>
      <c r="AC790" s="1" t="s">
        <v>220</v>
      </c>
      <c r="AD790" s="1" t="s">
        <v>1065</v>
      </c>
      <c r="AE790" s="1" t="s">
        <v>69</v>
      </c>
      <c r="AG790" s="1">
        <v>9560760</v>
      </c>
    </row>
    <row r="791" spans="1:33" s="1" customFormat="1" x14ac:dyDescent="0.25">
      <c r="C791" s="1" t="s">
        <v>4720</v>
      </c>
      <c r="D791" s="1" t="s">
        <v>4714</v>
      </c>
      <c r="E791" s="1" t="s">
        <v>4721</v>
      </c>
      <c r="F791" s="13" t="s">
        <v>6952</v>
      </c>
      <c r="G791" s="1" t="s">
        <v>4722</v>
      </c>
      <c r="H791" s="1" t="s">
        <v>160</v>
      </c>
      <c r="I791" s="1">
        <v>192</v>
      </c>
      <c r="J791" s="1" t="s">
        <v>46</v>
      </c>
      <c r="M791" s="1" t="s">
        <v>835</v>
      </c>
      <c r="N791" s="1" t="s">
        <v>48</v>
      </c>
      <c r="O791" s="9">
        <v>14</v>
      </c>
      <c r="P791" s="1">
        <f>ROUNDUP(790*(1-$F$3),2)</f>
        <v>790</v>
      </c>
      <c r="Q791" s="1" t="s">
        <v>49</v>
      </c>
      <c r="R791" s="1" t="s">
        <v>4723</v>
      </c>
      <c r="S791" s="1" t="s">
        <v>4724</v>
      </c>
      <c r="T791" s="9">
        <v>10</v>
      </c>
      <c r="U791" s="1">
        <f>ROUNDUP(718.18*(1-$F$3),2)</f>
        <v>718.18</v>
      </c>
      <c r="V791" s="1">
        <v>254</v>
      </c>
      <c r="Y791" s="1" t="s">
        <v>4725</v>
      </c>
      <c r="Z791" s="1" t="s">
        <v>128</v>
      </c>
      <c r="AA791" s="12">
        <v>44209</v>
      </c>
      <c r="AB791" s="1" t="s">
        <v>219</v>
      </c>
      <c r="AC791" s="1" t="s">
        <v>220</v>
      </c>
      <c r="AD791" s="1" t="s">
        <v>4221</v>
      </c>
      <c r="AE791" s="1" t="s">
        <v>69</v>
      </c>
      <c r="AG791" s="1">
        <v>9595910</v>
      </c>
    </row>
    <row r="792" spans="1:33" s="1" customFormat="1" x14ac:dyDescent="0.25">
      <c r="C792" s="1" t="s">
        <v>4726</v>
      </c>
      <c r="D792" s="1" t="s">
        <v>4714</v>
      </c>
      <c r="E792" s="1" t="s">
        <v>4727</v>
      </c>
      <c r="F792" s="13" t="s">
        <v>6952</v>
      </c>
      <c r="G792" s="1" t="s">
        <v>4716</v>
      </c>
      <c r="H792" s="1" t="s">
        <v>160</v>
      </c>
      <c r="I792" s="1">
        <v>192</v>
      </c>
      <c r="J792" s="1" t="s">
        <v>46</v>
      </c>
      <c r="M792" s="1" t="s">
        <v>835</v>
      </c>
      <c r="N792" s="1" t="s">
        <v>48</v>
      </c>
      <c r="O792" s="9">
        <v>14</v>
      </c>
      <c r="P792" s="1">
        <f>ROUNDUP(860*(1-$F$3),2)</f>
        <v>860</v>
      </c>
      <c r="Q792" s="1" t="s">
        <v>49</v>
      </c>
      <c r="R792" s="1" t="s">
        <v>4728</v>
      </c>
      <c r="S792" s="1" t="s">
        <v>4729</v>
      </c>
      <c r="T792" s="9">
        <v>22</v>
      </c>
      <c r="U792" s="1">
        <f>ROUNDUP(704.92*(1-$F$3),2)</f>
        <v>704.92</v>
      </c>
      <c r="V792" s="1">
        <v>258</v>
      </c>
      <c r="Y792" s="1" t="s">
        <v>4730</v>
      </c>
      <c r="Z792" s="1" t="s">
        <v>128</v>
      </c>
      <c r="AA792" s="12">
        <v>44146</v>
      </c>
      <c r="AB792" s="1" t="s">
        <v>219</v>
      </c>
      <c r="AC792" s="1" t="s">
        <v>220</v>
      </c>
      <c r="AD792" s="1" t="s">
        <v>4221</v>
      </c>
      <c r="AE792" s="1" t="s">
        <v>69</v>
      </c>
      <c r="AG792" s="1">
        <v>9563580</v>
      </c>
    </row>
    <row r="793" spans="1:33" s="1" customFormat="1" x14ac:dyDescent="0.25">
      <c r="C793" s="1" t="s">
        <v>4731</v>
      </c>
      <c r="D793" s="1" t="s">
        <v>4714</v>
      </c>
      <c r="E793" s="1" t="s">
        <v>4732</v>
      </c>
      <c r="F793" s="13" t="s">
        <v>6952</v>
      </c>
      <c r="G793" s="1" t="s">
        <v>4716</v>
      </c>
      <c r="H793" s="1" t="s">
        <v>160</v>
      </c>
      <c r="I793" s="1">
        <v>192</v>
      </c>
      <c r="J793" s="1" t="s">
        <v>46</v>
      </c>
      <c r="M793" s="1" t="s">
        <v>835</v>
      </c>
      <c r="N793" s="1" t="s">
        <v>48</v>
      </c>
      <c r="O793" s="9">
        <v>14</v>
      </c>
      <c r="P793" s="1">
        <f>ROUNDUP(790*(1-$F$3),2)</f>
        <v>790</v>
      </c>
      <c r="Q793" s="1" t="s">
        <v>49</v>
      </c>
      <c r="R793" s="1" t="s">
        <v>4733</v>
      </c>
      <c r="S793" s="1" t="s">
        <v>4734</v>
      </c>
      <c r="T793" s="9">
        <v>10</v>
      </c>
      <c r="U793" s="1">
        <f>ROUNDUP(718.18*(1-$F$3),2)</f>
        <v>718.18</v>
      </c>
      <c r="V793" s="1">
        <v>257</v>
      </c>
      <c r="Y793" s="1" t="s">
        <v>4735</v>
      </c>
      <c r="Z793" s="1" t="s">
        <v>128</v>
      </c>
      <c r="AA793" s="12">
        <v>44144</v>
      </c>
      <c r="AB793" s="1" t="s">
        <v>219</v>
      </c>
      <c r="AC793" s="1" t="s">
        <v>220</v>
      </c>
      <c r="AD793" s="1" t="s">
        <v>4736</v>
      </c>
      <c r="AE793" s="1" t="s">
        <v>69</v>
      </c>
      <c r="AG793" s="1">
        <v>9556020</v>
      </c>
    </row>
    <row r="794" spans="1:33" s="1" customFormat="1" x14ac:dyDescent="0.25">
      <c r="C794" s="1" t="s">
        <v>4737</v>
      </c>
      <c r="D794" s="1" t="s">
        <v>4714</v>
      </c>
      <c r="E794" s="1" t="s">
        <v>4738</v>
      </c>
      <c r="F794" s="13" t="s">
        <v>6952</v>
      </c>
      <c r="G794" s="1" t="s">
        <v>4716</v>
      </c>
      <c r="H794" s="1" t="s">
        <v>160</v>
      </c>
      <c r="I794" s="1">
        <v>128</v>
      </c>
      <c r="J794" s="1" t="s">
        <v>46</v>
      </c>
      <c r="M794" s="1" t="s">
        <v>835</v>
      </c>
      <c r="N794" s="1" t="s">
        <v>48</v>
      </c>
      <c r="O794" s="9">
        <v>20</v>
      </c>
      <c r="P794" s="1">
        <f>ROUNDUP(740*(1-$F$3),2)</f>
        <v>740</v>
      </c>
      <c r="Q794" s="1" t="s">
        <v>49</v>
      </c>
      <c r="R794" s="1" t="s">
        <v>4739</v>
      </c>
      <c r="S794" s="1" t="s">
        <v>4740</v>
      </c>
      <c r="T794" s="9">
        <v>22</v>
      </c>
      <c r="U794" s="1">
        <f>ROUNDUP(606.56*(1-$F$3),2)</f>
        <v>606.55999999999995</v>
      </c>
      <c r="V794" s="1">
        <v>196</v>
      </c>
      <c r="Y794" s="1" t="s">
        <v>4741</v>
      </c>
      <c r="Z794" s="1" t="s">
        <v>128</v>
      </c>
      <c r="AA794" s="12">
        <v>44208</v>
      </c>
      <c r="AB794" s="1" t="s">
        <v>219</v>
      </c>
      <c r="AC794" s="1" t="s">
        <v>220</v>
      </c>
      <c r="AD794" s="1" t="s">
        <v>1065</v>
      </c>
      <c r="AE794" s="1" t="s">
        <v>69</v>
      </c>
      <c r="AG794" s="1">
        <v>9594410</v>
      </c>
    </row>
    <row r="795" spans="1:33" s="1" customFormat="1" x14ac:dyDescent="0.25">
      <c r="C795" s="1" t="s">
        <v>4742</v>
      </c>
      <c r="D795" s="1" t="s">
        <v>4743</v>
      </c>
      <c r="E795" s="1" t="s">
        <v>4744</v>
      </c>
      <c r="F795" s="13" t="s">
        <v>6952</v>
      </c>
      <c r="G795" s="1" t="s">
        <v>4745</v>
      </c>
      <c r="H795" s="1" t="s">
        <v>61</v>
      </c>
      <c r="I795" s="1">
        <v>456</v>
      </c>
      <c r="J795" s="1" t="s">
        <v>46</v>
      </c>
      <c r="M795" s="1" t="s">
        <v>169</v>
      </c>
      <c r="N795" s="1" t="s">
        <v>48</v>
      </c>
      <c r="O795" s="9">
        <v>6</v>
      </c>
      <c r="P795" s="1">
        <f>ROUNDUP(1340*(1-$F$3),2)</f>
        <v>1340</v>
      </c>
      <c r="Q795" s="1" t="s">
        <v>49</v>
      </c>
      <c r="R795" s="1" t="s">
        <v>4746</v>
      </c>
      <c r="S795" s="1" t="s">
        <v>4747</v>
      </c>
      <c r="T795" s="9">
        <v>10</v>
      </c>
      <c r="U795" s="1">
        <f>ROUNDUP(1218.18*(1-$F$3),2)</f>
        <v>1218.18</v>
      </c>
      <c r="V795" s="1">
        <v>651</v>
      </c>
      <c r="Y795" s="1" t="s">
        <v>4748</v>
      </c>
      <c r="Z795" s="1" t="s">
        <v>128</v>
      </c>
      <c r="AA795" s="12">
        <v>44536</v>
      </c>
      <c r="AB795" s="1" t="s">
        <v>66</v>
      </c>
      <c r="AC795" s="1" t="s">
        <v>1271</v>
      </c>
      <c r="AD795" s="1" t="s">
        <v>4749</v>
      </c>
      <c r="AE795" s="1" t="s">
        <v>69</v>
      </c>
      <c r="AG795" s="1">
        <v>9868390</v>
      </c>
    </row>
    <row r="796" spans="1:33" s="1" customFormat="1" x14ac:dyDescent="0.25">
      <c r="C796" s="1" t="s">
        <v>4750</v>
      </c>
      <c r="D796" s="1" t="s">
        <v>4743</v>
      </c>
      <c r="E796" s="1" t="s">
        <v>4751</v>
      </c>
      <c r="F796" s="13" t="s">
        <v>6952</v>
      </c>
      <c r="G796" s="1" t="s">
        <v>4752</v>
      </c>
      <c r="H796" s="1" t="s">
        <v>160</v>
      </c>
      <c r="I796" s="1">
        <v>272</v>
      </c>
      <c r="J796" s="1" t="s">
        <v>46</v>
      </c>
      <c r="M796" s="1" t="s">
        <v>169</v>
      </c>
      <c r="N796" s="1" t="s">
        <v>48</v>
      </c>
      <c r="O796" s="9">
        <v>12</v>
      </c>
      <c r="P796" s="1">
        <f>ROUNDUP(960*(1-$F$3),2)</f>
        <v>960</v>
      </c>
      <c r="Q796" s="1" t="s">
        <v>49</v>
      </c>
      <c r="R796" s="1" t="s">
        <v>4753</v>
      </c>
      <c r="S796" s="1" t="s">
        <v>4754</v>
      </c>
      <c r="T796" s="9">
        <v>10</v>
      </c>
      <c r="U796" s="1">
        <f>ROUNDUP(872.73*(1-$F$3),2)</f>
        <v>872.73</v>
      </c>
      <c r="V796" s="1">
        <v>328</v>
      </c>
      <c r="Y796" s="1" t="s">
        <v>4755</v>
      </c>
      <c r="Z796" s="1" t="s">
        <v>53</v>
      </c>
      <c r="AA796" s="12">
        <v>44589</v>
      </c>
      <c r="AB796" s="1" t="s">
        <v>334</v>
      </c>
      <c r="AC796" s="1" t="s">
        <v>335</v>
      </c>
      <c r="AD796" s="1" t="s">
        <v>336</v>
      </c>
      <c r="AE796" s="1" t="s">
        <v>69</v>
      </c>
      <c r="AG796" s="1">
        <v>10168880</v>
      </c>
    </row>
    <row r="797" spans="1:33" s="1" customFormat="1" x14ac:dyDescent="0.25">
      <c r="C797" s="1" t="s">
        <v>4756</v>
      </c>
      <c r="D797" s="1" t="s">
        <v>4757</v>
      </c>
      <c r="E797" s="1" t="s">
        <v>4758</v>
      </c>
      <c r="F797" s="13" t="s">
        <v>6952</v>
      </c>
      <c r="G797" s="1" t="s">
        <v>4759</v>
      </c>
      <c r="H797" s="1" t="s">
        <v>61</v>
      </c>
      <c r="I797" s="1">
        <v>304</v>
      </c>
      <c r="J797" s="1" t="s">
        <v>46</v>
      </c>
      <c r="M797" s="1" t="s">
        <v>62</v>
      </c>
      <c r="N797" s="1" t="s">
        <v>48</v>
      </c>
      <c r="O797" s="9">
        <v>10</v>
      </c>
      <c r="P797" s="1">
        <f>ROUNDUP(1110*(1-$F$3),2)</f>
        <v>1110</v>
      </c>
      <c r="Q797" s="1" t="s">
        <v>49</v>
      </c>
      <c r="R797" s="1" t="s">
        <v>4760</v>
      </c>
      <c r="S797" s="1" t="s">
        <v>4761</v>
      </c>
      <c r="T797" s="9">
        <v>22</v>
      </c>
      <c r="U797" s="1">
        <f>ROUNDUP(909.84*(1-$F$3),2)</f>
        <v>909.84</v>
      </c>
      <c r="V797" s="1">
        <v>467</v>
      </c>
      <c r="Y797" s="1" t="s">
        <v>4762</v>
      </c>
      <c r="Z797" s="1" t="s">
        <v>76</v>
      </c>
      <c r="AA797" s="12">
        <v>45987</v>
      </c>
      <c r="AB797" s="1" t="s">
        <v>66</v>
      </c>
      <c r="AC797" s="1" t="s">
        <v>77</v>
      </c>
      <c r="AD797" s="1" t="s">
        <v>78</v>
      </c>
      <c r="AE797" s="1" t="s">
        <v>69</v>
      </c>
      <c r="AG797" s="1">
        <v>11951390</v>
      </c>
    </row>
    <row r="798" spans="1:33" s="11" customFormat="1" x14ac:dyDescent="0.25">
      <c r="A798" s="11" t="s">
        <v>6953</v>
      </c>
      <c r="C798" s="11" t="s">
        <v>4763</v>
      </c>
      <c r="D798" s="11" t="s">
        <v>4764</v>
      </c>
      <c r="E798" s="11" t="s">
        <v>4765</v>
      </c>
      <c r="F798" s="14" t="s">
        <v>6952</v>
      </c>
      <c r="G798" s="11" t="s">
        <v>4766</v>
      </c>
      <c r="H798" s="11" t="s">
        <v>61</v>
      </c>
      <c r="I798" s="11">
        <v>256</v>
      </c>
      <c r="J798" s="11" t="s">
        <v>46</v>
      </c>
      <c r="M798" s="11" t="s">
        <v>62</v>
      </c>
      <c r="N798" s="11" t="s">
        <v>48</v>
      </c>
      <c r="O798" s="23">
        <v>10</v>
      </c>
      <c r="P798" s="11">
        <f>ROUNDUP(790*(1-$F$3),2)</f>
        <v>790</v>
      </c>
      <c r="Q798" s="11" t="s">
        <v>49</v>
      </c>
      <c r="R798" s="11" t="s">
        <v>4767</v>
      </c>
      <c r="S798" s="11" t="s">
        <v>4768</v>
      </c>
      <c r="T798" s="23">
        <v>10</v>
      </c>
      <c r="U798" s="11">
        <f>ROUNDUP(718.18*(1-$F$3),2)</f>
        <v>718.18</v>
      </c>
      <c r="V798" s="11">
        <v>307</v>
      </c>
      <c r="Y798" s="11" t="s">
        <v>4769</v>
      </c>
      <c r="Z798" s="11" t="s">
        <v>53</v>
      </c>
      <c r="AA798" s="15">
        <v>46113</v>
      </c>
      <c r="AB798" s="11" t="s">
        <v>66</v>
      </c>
      <c r="AC798" s="11" t="s">
        <v>77</v>
      </c>
      <c r="AD798" s="11" t="s">
        <v>78</v>
      </c>
      <c r="AE798" s="11" t="s">
        <v>69</v>
      </c>
      <c r="AG798" s="11">
        <v>12062920</v>
      </c>
    </row>
    <row r="799" spans="1:33" s="1" customFormat="1" x14ac:dyDescent="0.25">
      <c r="C799" s="1" t="s">
        <v>4770</v>
      </c>
      <c r="D799" s="1" t="s">
        <v>4771</v>
      </c>
      <c r="E799" s="1" t="s">
        <v>4772</v>
      </c>
      <c r="F799" s="13" t="s">
        <v>6952</v>
      </c>
      <c r="G799" s="1" t="s">
        <v>4773</v>
      </c>
      <c r="H799" s="1" t="s">
        <v>160</v>
      </c>
      <c r="I799" s="1">
        <v>240</v>
      </c>
      <c r="J799" s="1" t="s">
        <v>46</v>
      </c>
      <c r="M799" s="1" t="s">
        <v>176</v>
      </c>
      <c r="N799" s="1" t="s">
        <v>139</v>
      </c>
      <c r="O799" s="9">
        <v>22</v>
      </c>
      <c r="P799" s="1">
        <f>ROUNDUP(869*(1-$F$3),2)</f>
        <v>869</v>
      </c>
      <c r="Q799" s="1" t="s">
        <v>49</v>
      </c>
      <c r="R799" s="1" t="s">
        <v>4774</v>
      </c>
      <c r="S799" s="1" t="s">
        <v>4775</v>
      </c>
      <c r="T799" s="9">
        <v>22</v>
      </c>
      <c r="U799" s="1">
        <f>ROUNDUP(712.3*(1-$F$3),2)</f>
        <v>712.3</v>
      </c>
      <c r="V799" s="1">
        <v>161</v>
      </c>
      <c r="Y799" s="1" t="s">
        <v>4776</v>
      </c>
      <c r="Z799" s="1" t="s">
        <v>53</v>
      </c>
      <c r="AA799" s="12">
        <v>45251</v>
      </c>
      <c r="AB799" s="1" t="s">
        <v>286</v>
      </c>
      <c r="AC799" s="1" t="s">
        <v>320</v>
      </c>
      <c r="AD799" s="1" t="s">
        <v>746</v>
      </c>
      <c r="AE799" s="1" t="s">
        <v>69</v>
      </c>
      <c r="AG799" s="1">
        <v>11149030</v>
      </c>
    </row>
    <row r="800" spans="1:33" s="1" customFormat="1" x14ac:dyDescent="0.25">
      <c r="C800" s="1" t="s">
        <v>4777</v>
      </c>
      <c r="D800" s="1" t="s">
        <v>4778</v>
      </c>
      <c r="E800" s="1" t="s">
        <v>4779</v>
      </c>
      <c r="F800" s="13" t="s">
        <v>6952</v>
      </c>
      <c r="G800" s="1" t="s">
        <v>3502</v>
      </c>
      <c r="H800" s="1" t="s">
        <v>190</v>
      </c>
      <c r="I800" s="1">
        <v>1264</v>
      </c>
      <c r="J800" s="1" t="s">
        <v>46</v>
      </c>
      <c r="M800" s="1" t="s">
        <v>176</v>
      </c>
      <c r="N800" s="1" t="s">
        <v>139</v>
      </c>
      <c r="O800" s="9"/>
      <c r="P800" s="1">
        <f>ROUNDUP(2650*(1-$F$3),2)</f>
        <v>2650</v>
      </c>
      <c r="Q800" s="1" t="s">
        <v>49</v>
      </c>
      <c r="R800" s="1" t="s">
        <v>4780</v>
      </c>
      <c r="S800" s="1" t="s">
        <v>4781</v>
      </c>
      <c r="T800" s="9">
        <v>10</v>
      </c>
      <c r="U800" s="1">
        <f>ROUNDUP(2409.09*(1-$F$3),2)</f>
        <v>2409.09</v>
      </c>
      <c r="V800" s="1">
        <v>876</v>
      </c>
      <c r="Y800" s="1" t="s">
        <v>4782</v>
      </c>
      <c r="Z800" s="1" t="s">
        <v>53</v>
      </c>
      <c r="AA800" s="12">
        <v>45313</v>
      </c>
      <c r="AB800" s="1" t="s">
        <v>95</v>
      </c>
      <c r="AC800" s="1" t="s">
        <v>112</v>
      </c>
      <c r="AD800" s="1" t="s">
        <v>113</v>
      </c>
      <c r="AE800" s="1" t="s">
        <v>69</v>
      </c>
      <c r="AG800" s="1">
        <v>11212630</v>
      </c>
    </row>
    <row r="801" spans="3:33" s="1" customFormat="1" x14ac:dyDescent="0.25">
      <c r="C801" s="1" t="s">
        <v>4783</v>
      </c>
      <c r="D801" s="1" t="s">
        <v>4778</v>
      </c>
      <c r="E801" s="1" t="s">
        <v>4784</v>
      </c>
      <c r="F801" s="13" t="s">
        <v>6952</v>
      </c>
      <c r="G801" s="1" t="s">
        <v>3502</v>
      </c>
      <c r="H801" s="1" t="s">
        <v>190</v>
      </c>
      <c r="I801" s="1">
        <v>832</v>
      </c>
      <c r="J801" s="1" t="s">
        <v>46</v>
      </c>
      <c r="M801" s="1" t="s">
        <v>47</v>
      </c>
      <c r="N801" s="1" t="s">
        <v>139</v>
      </c>
      <c r="O801" s="9">
        <v>4</v>
      </c>
      <c r="P801" s="1">
        <f>ROUNDUP(1440*(1-$F$3),2)</f>
        <v>1440</v>
      </c>
      <c r="Q801" s="1" t="s">
        <v>49</v>
      </c>
      <c r="R801" s="1" t="s">
        <v>4785</v>
      </c>
      <c r="S801" s="1" t="s">
        <v>4786</v>
      </c>
      <c r="T801" s="9">
        <v>10</v>
      </c>
      <c r="U801" s="1">
        <f>ROUNDUP(1309.09*(1-$F$3),2)</f>
        <v>1309.0899999999999</v>
      </c>
      <c r="V801" s="1">
        <v>575</v>
      </c>
      <c r="Y801" s="1" t="s">
        <v>4787</v>
      </c>
      <c r="Z801" s="1" t="s">
        <v>53</v>
      </c>
      <c r="AA801" s="12">
        <v>45283</v>
      </c>
      <c r="AB801" s="1" t="s">
        <v>95</v>
      </c>
      <c r="AC801" s="1" t="s">
        <v>112</v>
      </c>
      <c r="AD801" s="1" t="s">
        <v>113</v>
      </c>
      <c r="AE801" s="1" t="s">
        <v>69</v>
      </c>
      <c r="AG801" s="1">
        <v>11157970</v>
      </c>
    </row>
    <row r="802" spans="3:33" s="1" customFormat="1" x14ac:dyDescent="0.25">
      <c r="C802" s="1" t="s">
        <v>4788</v>
      </c>
      <c r="D802" s="1" t="s">
        <v>4778</v>
      </c>
      <c r="E802" s="1" t="s">
        <v>4789</v>
      </c>
      <c r="F802" s="13" t="s">
        <v>6952</v>
      </c>
      <c r="G802" s="1" t="s">
        <v>3502</v>
      </c>
      <c r="H802" s="1" t="s">
        <v>82</v>
      </c>
      <c r="I802" s="1">
        <v>944</v>
      </c>
      <c r="J802" s="1" t="s">
        <v>46</v>
      </c>
      <c r="M802" s="1" t="s">
        <v>176</v>
      </c>
      <c r="N802" s="1" t="s">
        <v>48</v>
      </c>
      <c r="O802" s="9">
        <v>4</v>
      </c>
      <c r="P802" s="1">
        <f>ROUNDUP(3520*(1-$F$3),2)</f>
        <v>3520</v>
      </c>
      <c r="Q802" s="1" t="s">
        <v>49</v>
      </c>
      <c r="R802" s="1" t="s">
        <v>4790</v>
      </c>
      <c r="S802" s="1" t="s">
        <v>4791</v>
      </c>
      <c r="T802" s="9">
        <v>10</v>
      </c>
      <c r="U802" s="1">
        <f>ROUNDUP(3200*(1-$F$3),2)</f>
        <v>3200</v>
      </c>
      <c r="V802" s="1">
        <v>1368</v>
      </c>
      <c r="Y802" s="1" t="s">
        <v>4792</v>
      </c>
      <c r="Z802" s="1" t="s">
        <v>53</v>
      </c>
      <c r="AA802" s="12">
        <v>45183</v>
      </c>
      <c r="AB802" s="1" t="s">
        <v>95</v>
      </c>
      <c r="AC802" s="1" t="s">
        <v>112</v>
      </c>
      <c r="AD802" s="1" t="s">
        <v>113</v>
      </c>
      <c r="AE802" s="1" t="s">
        <v>69</v>
      </c>
      <c r="AG802" s="1">
        <v>11069060</v>
      </c>
    </row>
    <row r="803" spans="3:33" s="1" customFormat="1" x14ac:dyDescent="0.25">
      <c r="C803" s="1" t="s">
        <v>4793</v>
      </c>
      <c r="D803" s="1" t="s">
        <v>4778</v>
      </c>
      <c r="E803" s="1" t="s">
        <v>4794</v>
      </c>
      <c r="F803" s="13" t="s">
        <v>6952</v>
      </c>
      <c r="G803" s="1" t="s">
        <v>3502</v>
      </c>
      <c r="H803" s="1" t="s">
        <v>82</v>
      </c>
      <c r="I803" s="1">
        <v>2616</v>
      </c>
      <c r="J803" s="1" t="s">
        <v>46</v>
      </c>
      <c r="M803" s="1" t="s">
        <v>176</v>
      </c>
      <c r="N803" s="1" t="s">
        <v>48</v>
      </c>
      <c r="O803" s="9"/>
      <c r="P803" s="1">
        <f>ROUNDUP(9500*(1-$F$3),2)</f>
        <v>9500</v>
      </c>
      <c r="Q803" s="1" t="s">
        <v>49</v>
      </c>
      <c r="R803" s="1" t="s">
        <v>4795</v>
      </c>
      <c r="S803" s="1" t="s">
        <v>4796</v>
      </c>
      <c r="T803" s="9">
        <v>10</v>
      </c>
      <c r="U803" s="1">
        <f>ROUNDUP(8636.36*(1-$F$3),2)</f>
        <v>8636.36</v>
      </c>
      <c r="V803" s="1">
        <v>3832</v>
      </c>
      <c r="Y803" s="1" t="s">
        <v>4797</v>
      </c>
      <c r="Z803" s="1" t="s">
        <v>53</v>
      </c>
      <c r="AA803" s="12">
        <v>45441</v>
      </c>
      <c r="AB803" s="1" t="s">
        <v>286</v>
      </c>
      <c r="AC803" s="1" t="s">
        <v>320</v>
      </c>
      <c r="AD803" s="1" t="s">
        <v>507</v>
      </c>
      <c r="AE803" s="1" t="s">
        <v>69</v>
      </c>
      <c r="AG803" s="1">
        <v>11372580</v>
      </c>
    </row>
    <row r="804" spans="3:33" s="1" customFormat="1" x14ac:dyDescent="0.25">
      <c r="C804" s="1" t="s">
        <v>4798</v>
      </c>
      <c r="D804" s="1" t="s">
        <v>4778</v>
      </c>
      <c r="E804" s="1" t="s">
        <v>4799</v>
      </c>
      <c r="F804" s="13" t="s">
        <v>6952</v>
      </c>
      <c r="G804" s="1" t="s">
        <v>3502</v>
      </c>
      <c r="H804" s="1" t="s">
        <v>82</v>
      </c>
      <c r="I804" s="1">
        <v>840</v>
      </c>
      <c r="J804" s="1" t="s">
        <v>46</v>
      </c>
      <c r="M804" s="1" t="s">
        <v>176</v>
      </c>
      <c r="N804" s="1" t="s">
        <v>48</v>
      </c>
      <c r="O804" s="9">
        <v>4</v>
      </c>
      <c r="P804" s="1">
        <f>ROUNDUP(3520*(1-$F$3),2)</f>
        <v>3520</v>
      </c>
      <c r="Q804" s="1" t="s">
        <v>49</v>
      </c>
      <c r="R804" s="1" t="s">
        <v>4800</v>
      </c>
      <c r="S804" s="1" t="s">
        <v>4801</v>
      </c>
      <c r="T804" s="9">
        <v>10</v>
      </c>
      <c r="U804" s="1">
        <f>ROUNDUP(3200*(1-$F$3),2)</f>
        <v>3200</v>
      </c>
      <c r="V804" s="1">
        <v>1319</v>
      </c>
      <c r="Y804" s="1" t="s">
        <v>4802</v>
      </c>
      <c r="Z804" s="1" t="s">
        <v>53</v>
      </c>
      <c r="AA804" s="12">
        <v>43094</v>
      </c>
      <c r="AB804" s="1" t="s">
        <v>95</v>
      </c>
      <c r="AC804" s="1" t="s">
        <v>112</v>
      </c>
      <c r="AD804" s="1" t="s">
        <v>4803</v>
      </c>
      <c r="AE804" s="1" t="s">
        <v>69</v>
      </c>
      <c r="AG804" s="1">
        <v>8435090</v>
      </c>
    </row>
    <row r="805" spans="3:33" s="1" customFormat="1" x14ac:dyDescent="0.25">
      <c r="C805" s="1" t="s">
        <v>4804</v>
      </c>
      <c r="D805" s="1" t="s">
        <v>4778</v>
      </c>
      <c r="E805" s="1" t="s">
        <v>4805</v>
      </c>
      <c r="F805" s="13" t="s">
        <v>6952</v>
      </c>
      <c r="G805" s="1" t="s">
        <v>3502</v>
      </c>
      <c r="H805" s="1" t="s">
        <v>724</v>
      </c>
      <c r="I805" s="1">
        <v>312</v>
      </c>
      <c r="J805" s="1" t="s">
        <v>46</v>
      </c>
      <c r="M805" s="1" t="s">
        <v>62</v>
      </c>
      <c r="N805" s="1" t="s">
        <v>48</v>
      </c>
      <c r="O805" s="9">
        <v>5</v>
      </c>
      <c r="P805" s="1">
        <f>ROUNDUP(2310*(1-$F$3),2)</f>
        <v>2310</v>
      </c>
      <c r="Q805" s="1" t="s">
        <v>49</v>
      </c>
      <c r="R805" s="1" t="s">
        <v>4806</v>
      </c>
      <c r="S805" s="1" t="s">
        <v>4807</v>
      </c>
      <c r="T805" s="9">
        <v>10</v>
      </c>
      <c r="U805" s="1">
        <f>ROUNDUP(2100*(1-$F$3),2)</f>
        <v>2100</v>
      </c>
      <c r="V805" s="1">
        <v>992</v>
      </c>
      <c r="Y805" s="1" t="s">
        <v>4808</v>
      </c>
      <c r="Z805" s="1" t="s">
        <v>711</v>
      </c>
      <c r="AA805" s="12">
        <v>45538</v>
      </c>
      <c r="AB805" s="1" t="s">
        <v>573</v>
      </c>
      <c r="AC805" s="1" t="s">
        <v>66</v>
      </c>
      <c r="AD805" s="1" t="s">
        <v>712</v>
      </c>
      <c r="AE805" s="1" t="s">
        <v>69</v>
      </c>
      <c r="AG805" s="1">
        <v>11421040</v>
      </c>
    </row>
    <row r="806" spans="3:33" s="1" customFormat="1" x14ac:dyDescent="0.25">
      <c r="C806" s="1" t="s">
        <v>4809</v>
      </c>
      <c r="D806" s="1" t="s">
        <v>4778</v>
      </c>
      <c r="E806" s="1" t="s">
        <v>4810</v>
      </c>
      <c r="F806" s="13" t="s">
        <v>6952</v>
      </c>
      <c r="G806" s="1" t="s">
        <v>3502</v>
      </c>
      <c r="H806" s="1" t="s">
        <v>190</v>
      </c>
      <c r="I806" s="1">
        <v>432</v>
      </c>
      <c r="J806" s="1" t="s">
        <v>46</v>
      </c>
      <c r="M806" s="1" t="s">
        <v>176</v>
      </c>
      <c r="N806" s="1" t="s">
        <v>139</v>
      </c>
      <c r="O806" s="9">
        <v>12</v>
      </c>
      <c r="P806" s="1">
        <f>ROUNDUP(1375*(1-$F$3),2)</f>
        <v>1375</v>
      </c>
      <c r="Q806" s="1" t="s">
        <v>49</v>
      </c>
      <c r="R806" s="1" t="s">
        <v>4811</v>
      </c>
      <c r="S806" s="1" t="s">
        <v>4812</v>
      </c>
      <c r="T806" s="9">
        <v>10</v>
      </c>
      <c r="U806" s="1">
        <f>ROUNDUP(1250*(1-$F$3),2)</f>
        <v>1250</v>
      </c>
      <c r="V806" s="1">
        <v>309</v>
      </c>
      <c r="Y806" s="1" t="s">
        <v>4813</v>
      </c>
      <c r="Z806" s="1" t="s">
        <v>128</v>
      </c>
      <c r="AA806" s="12">
        <v>43921</v>
      </c>
      <c r="AB806" s="1" t="s">
        <v>95</v>
      </c>
      <c r="AC806" s="1" t="s">
        <v>112</v>
      </c>
      <c r="AD806" s="1" t="s">
        <v>4803</v>
      </c>
      <c r="AE806" s="1" t="s">
        <v>69</v>
      </c>
      <c r="AG806" s="1">
        <v>9349250</v>
      </c>
    </row>
    <row r="807" spans="3:33" s="1" customFormat="1" x14ac:dyDescent="0.25">
      <c r="C807" s="1" t="s">
        <v>4814</v>
      </c>
      <c r="D807" s="1" t="s">
        <v>4778</v>
      </c>
      <c r="E807" s="1" t="s">
        <v>4815</v>
      </c>
      <c r="F807" s="13" t="s">
        <v>6952</v>
      </c>
      <c r="G807" s="1" t="s">
        <v>3502</v>
      </c>
      <c r="H807" s="1" t="s">
        <v>1240</v>
      </c>
      <c r="I807" s="1">
        <v>512</v>
      </c>
      <c r="J807" s="1" t="s">
        <v>46</v>
      </c>
      <c r="M807" s="1" t="s">
        <v>161</v>
      </c>
      <c r="N807" s="1" t="s">
        <v>48</v>
      </c>
      <c r="O807" s="9">
        <v>10</v>
      </c>
      <c r="P807" s="1">
        <f>ROUNDUP(1595*(1-$F$3),2)</f>
        <v>1595</v>
      </c>
      <c r="Q807" s="1" t="s">
        <v>49</v>
      </c>
      <c r="R807" s="1" t="s">
        <v>4816</v>
      </c>
      <c r="S807" s="1" t="s">
        <v>4817</v>
      </c>
      <c r="T807" s="9">
        <v>10</v>
      </c>
      <c r="U807" s="1">
        <f>ROUNDUP(1450*(1-$F$3),2)</f>
        <v>1450</v>
      </c>
      <c r="V807" s="1">
        <v>445</v>
      </c>
      <c r="Y807" s="1" t="s">
        <v>4818</v>
      </c>
      <c r="Z807" s="1" t="s">
        <v>128</v>
      </c>
      <c r="AA807" s="12">
        <v>43369</v>
      </c>
      <c r="AB807" s="1" t="s">
        <v>95</v>
      </c>
      <c r="AC807" s="1" t="s">
        <v>112</v>
      </c>
      <c r="AD807" s="1" t="s">
        <v>4803</v>
      </c>
      <c r="AE807" s="1" t="s">
        <v>69</v>
      </c>
      <c r="AG807" s="1">
        <v>8723820</v>
      </c>
    </row>
    <row r="808" spans="3:33" s="1" customFormat="1" x14ac:dyDescent="0.25">
      <c r="C808" s="1" t="s">
        <v>4819</v>
      </c>
      <c r="D808" s="1" t="s">
        <v>4778</v>
      </c>
      <c r="E808" s="1" t="s">
        <v>4820</v>
      </c>
      <c r="F808" s="13" t="s">
        <v>6952</v>
      </c>
      <c r="G808" s="1" t="s">
        <v>3502</v>
      </c>
      <c r="H808" s="1" t="s">
        <v>190</v>
      </c>
      <c r="I808" s="1">
        <v>784</v>
      </c>
      <c r="J808" s="1" t="s">
        <v>46</v>
      </c>
      <c r="M808" s="1" t="s">
        <v>47</v>
      </c>
      <c r="N808" s="1" t="s">
        <v>139</v>
      </c>
      <c r="O808" s="9">
        <v>4</v>
      </c>
      <c r="P808" s="1">
        <f>ROUNDUP(1440*(1-$F$3),2)</f>
        <v>1440</v>
      </c>
      <c r="Q808" s="1" t="s">
        <v>49</v>
      </c>
      <c r="R808" s="1" t="s">
        <v>4821</v>
      </c>
      <c r="S808" s="1" t="s">
        <v>4822</v>
      </c>
      <c r="T808" s="9">
        <v>10</v>
      </c>
      <c r="U808" s="1">
        <f>ROUNDUP(1309.09*(1-$F$3),2)</f>
        <v>1309.0899999999999</v>
      </c>
      <c r="V808" s="1">
        <v>541</v>
      </c>
      <c r="Y808" s="1" t="s">
        <v>4823</v>
      </c>
      <c r="Z808" s="1" t="s">
        <v>53</v>
      </c>
      <c r="AA808" s="12">
        <v>45868</v>
      </c>
      <c r="AB808" s="1" t="s">
        <v>95</v>
      </c>
      <c r="AC808" s="1" t="s">
        <v>112</v>
      </c>
      <c r="AD808" s="1" t="s">
        <v>113</v>
      </c>
      <c r="AE808" s="1" t="s">
        <v>69</v>
      </c>
      <c r="AG808" s="1">
        <v>11775340</v>
      </c>
    </row>
    <row r="809" spans="3:33" s="1" customFormat="1" x14ac:dyDescent="0.25">
      <c r="C809" s="1" t="s">
        <v>4824</v>
      </c>
      <c r="D809" s="1" t="s">
        <v>4778</v>
      </c>
      <c r="E809" s="1" t="s">
        <v>4825</v>
      </c>
      <c r="F809" s="13" t="s">
        <v>6952</v>
      </c>
      <c r="G809" s="1" t="s">
        <v>3502</v>
      </c>
      <c r="H809" s="1" t="s">
        <v>82</v>
      </c>
      <c r="I809" s="1">
        <v>1784</v>
      </c>
      <c r="J809" s="1" t="s">
        <v>46</v>
      </c>
      <c r="M809" s="1" t="s">
        <v>161</v>
      </c>
      <c r="N809" s="1" t="s">
        <v>48</v>
      </c>
      <c r="O809" s="9">
        <v>1</v>
      </c>
      <c r="P809" s="1">
        <f>ROUNDUP(6700*(1-$F$3),2)</f>
        <v>6700</v>
      </c>
      <c r="Q809" s="1" t="s">
        <v>49</v>
      </c>
      <c r="R809" s="1" t="s">
        <v>4826</v>
      </c>
      <c r="S809" s="1" t="s">
        <v>4827</v>
      </c>
      <c r="T809" s="9">
        <v>10</v>
      </c>
      <c r="U809" s="1">
        <f>ROUNDUP(6090.91*(1-$F$3),2)</f>
        <v>6090.91</v>
      </c>
      <c r="V809" s="1">
        <v>2625</v>
      </c>
      <c r="Y809" s="1" t="s">
        <v>4828</v>
      </c>
      <c r="Z809" s="1" t="s">
        <v>53</v>
      </c>
      <c r="AA809" s="12">
        <v>45238</v>
      </c>
      <c r="AB809" s="1" t="s">
        <v>95</v>
      </c>
      <c r="AC809" s="1" t="s">
        <v>112</v>
      </c>
      <c r="AD809" s="1" t="s">
        <v>113</v>
      </c>
      <c r="AE809" s="1" t="s">
        <v>69</v>
      </c>
      <c r="AG809" s="1">
        <v>11144140</v>
      </c>
    </row>
    <row r="810" spans="3:33" s="1" customFormat="1" x14ac:dyDescent="0.25">
      <c r="C810" s="1" t="s">
        <v>4829</v>
      </c>
      <c r="D810" s="1" t="s">
        <v>4778</v>
      </c>
      <c r="E810" s="1" t="s">
        <v>4830</v>
      </c>
      <c r="F810" s="13" t="s">
        <v>6952</v>
      </c>
      <c r="G810" s="1" t="s">
        <v>3502</v>
      </c>
      <c r="H810" s="1" t="s">
        <v>190</v>
      </c>
      <c r="I810" s="1">
        <v>800</v>
      </c>
      <c r="J810" s="1" t="s">
        <v>46</v>
      </c>
      <c r="M810" s="1" t="s">
        <v>176</v>
      </c>
      <c r="N810" s="1" t="s">
        <v>139</v>
      </c>
      <c r="O810" s="9">
        <v>5</v>
      </c>
      <c r="P810" s="1">
        <f>ROUNDUP(1470*(1-$F$3),2)</f>
        <v>1470</v>
      </c>
      <c r="Q810" s="1" t="s">
        <v>49</v>
      </c>
      <c r="R810" s="1" t="s">
        <v>4831</v>
      </c>
      <c r="S810" s="1" t="s">
        <v>4832</v>
      </c>
      <c r="T810" s="9">
        <v>10</v>
      </c>
      <c r="U810" s="1">
        <f>ROUNDUP(1336.36*(1-$F$3),2)</f>
        <v>1336.36</v>
      </c>
      <c r="V810" s="1">
        <v>556</v>
      </c>
      <c r="Y810" s="1" t="s">
        <v>4833</v>
      </c>
      <c r="Z810" s="1" t="s">
        <v>53</v>
      </c>
      <c r="AA810" s="12">
        <v>45573</v>
      </c>
      <c r="AB810" s="1" t="s">
        <v>95</v>
      </c>
      <c r="AC810" s="1" t="s">
        <v>112</v>
      </c>
      <c r="AD810" s="1" t="s">
        <v>113</v>
      </c>
      <c r="AE810" s="1" t="s">
        <v>69</v>
      </c>
      <c r="AG810" s="1">
        <v>11436410</v>
      </c>
    </row>
    <row r="811" spans="3:33" s="1" customFormat="1" x14ac:dyDescent="0.25">
      <c r="C811" s="1" t="s">
        <v>4834</v>
      </c>
      <c r="D811" s="1" t="s">
        <v>4778</v>
      </c>
      <c r="E811" s="1" t="s">
        <v>4835</v>
      </c>
      <c r="F811" s="13" t="s">
        <v>6952</v>
      </c>
      <c r="G811" s="1" t="s">
        <v>3502</v>
      </c>
      <c r="H811" s="1" t="s">
        <v>82</v>
      </c>
      <c r="I811" s="1">
        <v>832</v>
      </c>
      <c r="J811" s="1" t="s">
        <v>46</v>
      </c>
      <c r="M811" s="1" t="s">
        <v>176</v>
      </c>
      <c r="N811" s="1" t="s">
        <v>48</v>
      </c>
      <c r="O811" s="9">
        <v>3</v>
      </c>
      <c r="P811" s="1">
        <f>ROUNDUP(3520*(1-$F$3),2)</f>
        <v>3520</v>
      </c>
      <c r="Q811" s="1" t="s">
        <v>49</v>
      </c>
      <c r="R811" s="1" t="s">
        <v>4836</v>
      </c>
      <c r="S811" s="1" t="s">
        <v>4837</v>
      </c>
      <c r="T811" s="9">
        <v>10</v>
      </c>
      <c r="U811" s="1">
        <f>ROUNDUP(3200*(1-$F$3),2)</f>
        <v>3200</v>
      </c>
      <c r="V811" s="1">
        <v>1232</v>
      </c>
      <c r="Y811" s="1" t="s">
        <v>4838</v>
      </c>
      <c r="Z811" s="1" t="s">
        <v>53</v>
      </c>
      <c r="AA811" s="12">
        <v>45438</v>
      </c>
      <c r="AB811" s="1" t="s">
        <v>95</v>
      </c>
      <c r="AC811" s="1" t="s">
        <v>112</v>
      </c>
      <c r="AD811" s="1" t="s">
        <v>113</v>
      </c>
      <c r="AE811" s="1" t="s">
        <v>69</v>
      </c>
      <c r="AG811" s="1">
        <v>11316950</v>
      </c>
    </row>
    <row r="812" spans="3:33" s="1" customFormat="1" x14ac:dyDescent="0.25">
      <c r="C812" s="1" t="s">
        <v>4839</v>
      </c>
      <c r="D812" s="1" t="s">
        <v>4840</v>
      </c>
      <c r="E812" s="1" t="s">
        <v>4841</v>
      </c>
      <c r="F812" s="13" t="s">
        <v>6952</v>
      </c>
      <c r="G812" s="1" t="s">
        <v>4842</v>
      </c>
      <c r="H812" s="1" t="s">
        <v>61</v>
      </c>
      <c r="I812" s="1">
        <v>168</v>
      </c>
      <c r="J812" s="1" t="s">
        <v>46</v>
      </c>
      <c r="M812" s="1" t="s">
        <v>176</v>
      </c>
      <c r="N812" s="1" t="s">
        <v>48</v>
      </c>
      <c r="O812" s="9">
        <v>18</v>
      </c>
      <c r="P812" s="1">
        <f>ROUNDUP(1490*(1-$F$3),2)</f>
        <v>1490</v>
      </c>
      <c r="Q812" s="1" t="s">
        <v>49</v>
      </c>
      <c r="R812" s="1" t="s">
        <v>4843</v>
      </c>
      <c r="S812" s="1" t="s">
        <v>4844</v>
      </c>
      <c r="T812" s="9">
        <v>10</v>
      </c>
      <c r="U812" s="1">
        <f>ROUNDUP(1354.55*(1-$F$3),2)</f>
        <v>1354.55</v>
      </c>
      <c r="V812" s="1">
        <v>314</v>
      </c>
      <c r="Y812" s="1" t="s">
        <v>4845</v>
      </c>
      <c r="Z812" s="1" t="s">
        <v>711</v>
      </c>
      <c r="AA812" s="12">
        <v>45281</v>
      </c>
      <c r="AB812" s="1" t="s">
        <v>66</v>
      </c>
      <c r="AC812" s="1" t="s">
        <v>77</v>
      </c>
      <c r="AD812" s="1" t="s">
        <v>78</v>
      </c>
      <c r="AE812" s="1" t="s">
        <v>69</v>
      </c>
      <c r="AG812" s="1">
        <v>11184820</v>
      </c>
    </row>
    <row r="813" spans="3:33" s="1" customFormat="1" x14ac:dyDescent="0.25">
      <c r="C813" s="1" t="s">
        <v>4846</v>
      </c>
      <c r="D813" s="1" t="s">
        <v>4847</v>
      </c>
      <c r="E813" s="1" t="s">
        <v>4848</v>
      </c>
      <c r="F813" s="13" t="s">
        <v>6952</v>
      </c>
      <c r="G813" s="1" t="s">
        <v>4849</v>
      </c>
      <c r="H813" s="1" t="s">
        <v>61</v>
      </c>
      <c r="I813" s="1">
        <v>240</v>
      </c>
      <c r="J813" s="1" t="s">
        <v>46</v>
      </c>
      <c r="K813" s="1" t="s">
        <v>1566</v>
      </c>
      <c r="M813" s="1" t="s">
        <v>756</v>
      </c>
      <c r="N813" s="1" t="s">
        <v>48</v>
      </c>
      <c r="O813" s="9">
        <v>16</v>
      </c>
      <c r="P813" s="1">
        <f>ROUNDUP(1010*(1-$F$3),2)</f>
        <v>1010</v>
      </c>
      <c r="Q813" s="1" t="s">
        <v>49</v>
      </c>
      <c r="R813" s="1" t="s">
        <v>4850</v>
      </c>
      <c r="S813" s="1" t="s">
        <v>4851</v>
      </c>
      <c r="T813" s="9">
        <v>10</v>
      </c>
      <c r="U813" s="1">
        <f>ROUNDUP(918.18*(1-$F$3),2)</f>
        <v>918.18</v>
      </c>
      <c r="V813" s="1">
        <v>351</v>
      </c>
      <c r="Y813" s="1" t="s">
        <v>4852</v>
      </c>
      <c r="Z813" s="1" t="s">
        <v>76</v>
      </c>
      <c r="AA813" s="12">
        <v>43535</v>
      </c>
      <c r="AB813" s="1" t="s">
        <v>66</v>
      </c>
      <c r="AC813" s="1" t="s">
        <v>683</v>
      </c>
      <c r="AD813" s="1" t="s">
        <v>684</v>
      </c>
      <c r="AE813" s="1" t="s">
        <v>69</v>
      </c>
      <c r="AG813" s="1">
        <v>8969400</v>
      </c>
    </row>
    <row r="814" spans="3:33" s="1" customFormat="1" x14ac:dyDescent="0.25">
      <c r="C814" s="1" t="s">
        <v>4853</v>
      </c>
      <c r="D814" s="1" t="s">
        <v>4854</v>
      </c>
      <c r="E814" s="1" t="s">
        <v>4855</v>
      </c>
      <c r="F814" s="13" t="s">
        <v>6952</v>
      </c>
      <c r="G814" s="1" t="s">
        <v>1500</v>
      </c>
      <c r="H814" s="1" t="s">
        <v>160</v>
      </c>
      <c r="I814" s="1">
        <v>528</v>
      </c>
      <c r="J814" s="1" t="s">
        <v>46</v>
      </c>
      <c r="M814" s="1" t="s">
        <v>756</v>
      </c>
      <c r="N814" s="1" t="s">
        <v>48</v>
      </c>
      <c r="O814" s="9">
        <v>8</v>
      </c>
      <c r="P814" s="1">
        <f>ROUNDUP(990*(1-$F$3),2)</f>
        <v>990</v>
      </c>
      <c r="Q814" s="1" t="s">
        <v>49</v>
      </c>
      <c r="R814" s="1" t="s">
        <v>4856</v>
      </c>
      <c r="S814" s="1" t="s">
        <v>4857</v>
      </c>
      <c r="T814" s="9">
        <v>10</v>
      </c>
      <c r="U814" s="1">
        <f>ROUNDUP(900*(1-$F$3),2)</f>
        <v>900</v>
      </c>
      <c r="V814" s="1">
        <v>399</v>
      </c>
      <c r="Y814" s="1" t="s">
        <v>4858</v>
      </c>
      <c r="Z814" s="1" t="s">
        <v>53</v>
      </c>
      <c r="AA814" s="12">
        <v>44300</v>
      </c>
      <c r="AB814" s="1" t="s">
        <v>66</v>
      </c>
      <c r="AC814" s="1" t="s">
        <v>491</v>
      </c>
      <c r="AD814" s="1" t="s">
        <v>492</v>
      </c>
      <c r="AE814" s="1" t="s">
        <v>878</v>
      </c>
      <c r="AG814" s="1">
        <v>9670350</v>
      </c>
    </row>
    <row r="815" spans="3:33" s="1" customFormat="1" x14ac:dyDescent="0.25">
      <c r="C815" s="1" t="s">
        <v>4859</v>
      </c>
      <c r="D815" s="1" t="s">
        <v>4854</v>
      </c>
      <c r="E815" s="1" t="s">
        <v>4860</v>
      </c>
      <c r="F815" s="13" t="s">
        <v>6952</v>
      </c>
      <c r="G815" s="1" t="s">
        <v>1500</v>
      </c>
      <c r="H815" s="1" t="s">
        <v>160</v>
      </c>
      <c r="I815" s="1">
        <v>384</v>
      </c>
      <c r="J815" s="1" t="s">
        <v>46</v>
      </c>
      <c r="M815" s="1" t="s">
        <v>169</v>
      </c>
      <c r="N815" s="1" t="s">
        <v>48</v>
      </c>
      <c r="O815" s="9">
        <v>8</v>
      </c>
      <c r="P815" s="1">
        <f>ROUNDUP(1300*(1-$F$3),2)</f>
        <v>1300</v>
      </c>
      <c r="Q815" s="1" t="s">
        <v>49</v>
      </c>
      <c r="R815" s="1" t="s">
        <v>4861</v>
      </c>
      <c r="S815" s="1" t="s">
        <v>4862</v>
      </c>
      <c r="T815" s="9">
        <v>10</v>
      </c>
      <c r="U815" s="1">
        <f>ROUNDUP(1181.82*(1-$F$3),2)</f>
        <v>1181.82</v>
      </c>
      <c r="V815" s="1">
        <v>417</v>
      </c>
      <c r="Y815" s="1" t="s">
        <v>4863</v>
      </c>
      <c r="Z815" s="1" t="s">
        <v>76</v>
      </c>
      <c r="AA815" s="12">
        <v>44524</v>
      </c>
      <c r="AB815" s="1" t="s">
        <v>66</v>
      </c>
      <c r="AC815" s="1" t="s">
        <v>491</v>
      </c>
      <c r="AD815" s="1" t="s">
        <v>492</v>
      </c>
      <c r="AE815" s="1" t="s">
        <v>69</v>
      </c>
      <c r="AG815" s="1">
        <v>9950650</v>
      </c>
    </row>
    <row r="816" spans="3:33" s="1" customFormat="1" x14ac:dyDescent="0.25">
      <c r="C816" s="1" t="s">
        <v>4864</v>
      </c>
      <c r="D816" s="1" t="s">
        <v>4854</v>
      </c>
      <c r="E816" s="1" t="s">
        <v>4865</v>
      </c>
      <c r="F816" s="13" t="s">
        <v>6952</v>
      </c>
      <c r="G816" s="1" t="s">
        <v>1500</v>
      </c>
      <c r="H816" s="1" t="s">
        <v>160</v>
      </c>
      <c r="I816" s="1">
        <v>368</v>
      </c>
      <c r="J816" s="1" t="s">
        <v>46</v>
      </c>
      <c r="M816" s="1" t="s">
        <v>756</v>
      </c>
      <c r="N816" s="1" t="s">
        <v>48</v>
      </c>
      <c r="O816" s="9">
        <v>8</v>
      </c>
      <c r="P816" s="1">
        <f>ROUNDUP(1240*(1-$F$3),2)</f>
        <v>1240</v>
      </c>
      <c r="Q816" s="1" t="s">
        <v>49</v>
      </c>
      <c r="R816" s="1" t="s">
        <v>4866</v>
      </c>
      <c r="S816" s="1" t="s">
        <v>4867</v>
      </c>
      <c r="T816" s="9">
        <v>10</v>
      </c>
      <c r="U816" s="1">
        <f>ROUNDUP(1127.27*(1-$F$3),2)</f>
        <v>1127.27</v>
      </c>
      <c r="V816" s="1">
        <v>379</v>
      </c>
      <c r="Y816" s="1" t="s">
        <v>4868</v>
      </c>
      <c r="Z816" s="1" t="s">
        <v>76</v>
      </c>
      <c r="AA816" s="12">
        <v>44439</v>
      </c>
      <c r="AB816" s="1" t="s">
        <v>66</v>
      </c>
      <c r="AC816" s="1" t="s">
        <v>491</v>
      </c>
      <c r="AD816" s="1" t="s">
        <v>492</v>
      </c>
      <c r="AE816" s="1" t="s">
        <v>69</v>
      </c>
      <c r="AG816" s="1">
        <v>9793360</v>
      </c>
    </row>
    <row r="817" spans="3:33" s="1" customFormat="1" x14ac:dyDescent="0.25">
      <c r="C817" s="1" t="s">
        <v>4869</v>
      </c>
      <c r="D817" s="1" t="s">
        <v>4870</v>
      </c>
      <c r="E817" s="1" t="s">
        <v>4871</v>
      </c>
      <c r="F817" s="13" t="s">
        <v>6952</v>
      </c>
      <c r="G817" s="1" t="s">
        <v>2793</v>
      </c>
      <c r="H817" s="1" t="s">
        <v>160</v>
      </c>
      <c r="I817" s="1">
        <v>320</v>
      </c>
      <c r="J817" s="1" t="s">
        <v>46</v>
      </c>
      <c r="M817" s="1" t="s">
        <v>835</v>
      </c>
      <c r="N817" s="1" t="s">
        <v>48</v>
      </c>
      <c r="O817" s="9">
        <v>10</v>
      </c>
      <c r="P817" s="1">
        <f>ROUNDUP(1030*(1-$F$3),2)</f>
        <v>1030</v>
      </c>
      <c r="Q817" s="1" t="s">
        <v>49</v>
      </c>
      <c r="R817" s="1" t="s">
        <v>4872</v>
      </c>
      <c r="S817" s="1" t="s">
        <v>4873</v>
      </c>
      <c r="T817" s="9">
        <v>22</v>
      </c>
      <c r="U817" s="1">
        <f>ROUNDUP(844.26*(1-$F$3),2)</f>
        <v>844.26</v>
      </c>
      <c r="V817" s="1">
        <v>269</v>
      </c>
      <c r="Y817" s="1" t="s">
        <v>4874</v>
      </c>
      <c r="Z817" s="1" t="s">
        <v>53</v>
      </c>
      <c r="AA817" s="12">
        <v>44032</v>
      </c>
      <c r="AB817" s="1" t="s">
        <v>95</v>
      </c>
      <c r="AC817" s="1" t="s">
        <v>112</v>
      </c>
      <c r="AD817" s="1" t="s">
        <v>1795</v>
      </c>
      <c r="AE817" s="1" t="s">
        <v>878</v>
      </c>
      <c r="AG817" s="1">
        <v>9437230</v>
      </c>
    </row>
    <row r="818" spans="3:33" s="1" customFormat="1" x14ac:dyDescent="0.25">
      <c r="C818" s="1" t="s">
        <v>4875</v>
      </c>
      <c r="D818" s="1" t="s">
        <v>4876</v>
      </c>
      <c r="E818" s="1" t="s">
        <v>4877</v>
      </c>
      <c r="F818" s="13" t="s">
        <v>6952</v>
      </c>
      <c r="G818" s="1" t="s">
        <v>4878</v>
      </c>
      <c r="H818" s="1" t="s">
        <v>61</v>
      </c>
      <c r="I818" s="1">
        <v>240</v>
      </c>
      <c r="J818" s="1" t="s">
        <v>46</v>
      </c>
      <c r="M818" s="1" t="s">
        <v>161</v>
      </c>
      <c r="N818" s="1" t="s">
        <v>48</v>
      </c>
      <c r="O818" s="9">
        <v>16</v>
      </c>
      <c r="P818" s="1">
        <f>ROUNDUP(1060*(1-$F$3),2)</f>
        <v>1060</v>
      </c>
      <c r="Q818" s="1" t="s">
        <v>49</v>
      </c>
      <c r="R818" s="1" t="s">
        <v>4879</v>
      </c>
      <c r="S818" s="1" t="s">
        <v>4880</v>
      </c>
      <c r="T818" s="9">
        <v>10</v>
      </c>
      <c r="U818" s="1">
        <f>ROUNDUP(963.64*(1-$F$3),2)</f>
        <v>963.64</v>
      </c>
      <c r="V818" s="1">
        <v>357</v>
      </c>
      <c r="Y818" s="1" t="s">
        <v>4881</v>
      </c>
      <c r="Z818" s="1" t="s">
        <v>53</v>
      </c>
      <c r="AA818" s="12">
        <v>44900</v>
      </c>
      <c r="AB818" s="1" t="s">
        <v>66</v>
      </c>
      <c r="AC818" s="1" t="s">
        <v>77</v>
      </c>
      <c r="AD818" s="1" t="s">
        <v>78</v>
      </c>
      <c r="AE818" s="1" t="s">
        <v>69</v>
      </c>
      <c r="AG818" s="1">
        <v>10739190</v>
      </c>
    </row>
    <row r="819" spans="3:33" s="1" customFormat="1" x14ac:dyDescent="0.25">
      <c r="C819" s="1" t="s">
        <v>4882</v>
      </c>
      <c r="D819" s="1" t="s">
        <v>4883</v>
      </c>
      <c r="E819" s="1" t="s">
        <v>1533</v>
      </c>
      <c r="F819" s="13" t="s">
        <v>6952</v>
      </c>
      <c r="G819" s="1" t="s">
        <v>750</v>
      </c>
      <c r="H819" s="1" t="s">
        <v>61</v>
      </c>
      <c r="I819" s="1">
        <v>495</v>
      </c>
      <c r="J819" s="1" t="s">
        <v>46</v>
      </c>
      <c r="K819" s="1" t="s">
        <v>1566</v>
      </c>
      <c r="M819" s="1" t="s">
        <v>169</v>
      </c>
      <c r="N819" s="1" t="s">
        <v>139</v>
      </c>
      <c r="O819" s="9">
        <v>4</v>
      </c>
      <c r="P819" s="1">
        <f>ROUNDUP(1090*(1-$F$3),2)</f>
        <v>1090</v>
      </c>
      <c r="Q819" s="1" t="s">
        <v>49</v>
      </c>
      <c r="R819" s="1" t="s">
        <v>4884</v>
      </c>
      <c r="S819" s="1" t="s">
        <v>4885</v>
      </c>
      <c r="T819" s="9">
        <v>10</v>
      </c>
      <c r="U819" s="1">
        <f>ROUNDUP(990.91*(1-$F$3),2)</f>
        <v>990.91</v>
      </c>
      <c r="V819" s="1">
        <v>349</v>
      </c>
      <c r="Y819" s="1" t="s">
        <v>1536</v>
      </c>
      <c r="Z819" s="1" t="s">
        <v>76</v>
      </c>
      <c r="AA819" s="12">
        <v>43647</v>
      </c>
      <c r="AB819" s="1" t="s">
        <v>66</v>
      </c>
      <c r="AC819" s="1" t="s">
        <v>120</v>
      </c>
      <c r="AD819" s="1" t="s">
        <v>121</v>
      </c>
      <c r="AE819" s="1" t="s">
        <v>69</v>
      </c>
      <c r="AG819" s="1">
        <v>9086280</v>
      </c>
    </row>
    <row r="820" spans="3:33" s="1" customFormat="1" x14ac:dyDescent="0.25">
      <c r="C820" s="1" t="s">
        <v>4886</v>
      </c>
      <c r="D820" s="1" t="s">
        <v>4883</v>
      </c>
      <c r="E820" s="1" t="s">
        <v>4887</v>
      </c>
      <c r="F820" s="13" t="s">
        <v>6952</v>
      </c>
      <c r="G820" s="1" t="s">
        <v>4123</v>
      </c>
      <c r="H820" s="1" t="s">
        <v>61</v>
      </c>
      <c r="I820" s="1">
        <v>544</v>
      </c>
      <c r="J820" s="1" t="s">
        <v>46</v>
      </c>
      <c r="K820" s="1" t="s">
        <v>1566</v>
      </c>
      <c r="M820" s="1" t="s">
        <v>835</v>
      </c>
      <c r="N820" s="1" t="s">
        <v>139</v>
      </c>
      <c r="O820" s="9">
        <v>10</v>
      </c>
      <c r="P820" s="1">
        <f>ROUNDUP(1110*(1-$F$3),2)</f>
        <v>1110</v>
      </c>
      <c r="Q820" s="1" t="s">
        <v>49</v>
      </c>
      <c r="R820" s="1" t="s">
        <v>4888</v>
      </c>
      <c r="S820" s="1" t="s">
        <v>4889</v>
      </c>
      <c r="T820" s="9">
        <v>10</v>
      </c>
      <c r="U820" s="1">
        <f>ROUNDUP(1009.09*(1-$F$3),2)</f>
        <v>1009.09</v>
      </c>
      <c r="V820" s="1">
        <v>583</v>
      </c>
      <c r="Y820" s="1" t="s">
        <v>4890</v>
      </c>
      <c r="Z820" s="1" t="s">
        <v>53</v>
      </c>
      <c r="AA820" s="12">
        <v>43645</v>
      </c>
      <c r="AB820" s="1" t="s">
        <v>66</v>
      </c>
      <c r="AC820" s="1" t="s">
        <v>143</v>
      </c>
      <c r="AD820" s="1" t="s">
        <v>144</v>
      </c>
      <c r="AE820" s="1" t="s">
        <v>878</v>
      </c>
      <c r="AG820" s="1">
        <v>9091300</v>
      </c>
    </row>
    <row r="821" spans="3:33" s="1" customFormat="1" x14ac:dyDescent="0.25">
      <c r="C821" s="1" t="s">
        <v>4891</v>
      </c>
      <c r="D821" s="1" t="s">
        <v>4892</v>
      </c>
      <c r="E821" s="1" t="s">
        <v>4893</v>
      </c>
      <c r="F821" s="13" t="s">
        <v>6952</v>
      </c>
      <c r="G821" s="1" t="s">
        <v>4894</v>
      </c>
      <c r="H821" s="1" t="s">
        <v>1240</v>
      </c>
      <c r="I821" s="1">
        <v>208</v>
      </c>
      <c r="J821" s="1" t="s">
        <v>46</v>
      </c>
      <c r="M821" s="1" t="s">
        <v>835</v>
      </c>
      <c r="N821" s="1" t="s">
        <v>48</v>
      </c>
      <c r="O821" s="9">
        <v>14</v>
      </c>
      <c r="P821" s="1">
        <f>ROUNDUP(930*(1-$F$3),2)</f>
        <v>930</v>
      </c>
      <c r="Q821" s="1" t="s">
        <v>49</v>
      </c>
      <c r="R821" s="1" t="s">
        <v>4895</v>
      </c>
      <c r="S821" s="1" t="s">
        <v>4896</v>
      </c>
      <c r="T821" s="9">
        <v>10</v>
      </c>
      <c r="U821" s="1">
        <f>ROUNDUP(845.45*(1-$F$3),2)</f>
        <v>845.45</v>
      </c>
      <c r="V821" s="1">
        <v>289</v>
      </c>
      <c r="Y821" s="1" t="s">
        <v>4897</v>
      </c>
      <c r="Z821" s="1" t="s">
        <v>128</v>
      </c>
      <c r="AA821" s="12">
        <v>43803</v>
      </c>
      <c r="AB821" s="1" t="s">
        <v>573</v>
      </c>
      <c r="AC821" s="1" t="s">
        <v>66</v>
      </c>
      <c r="AD821" s="1" t="s">
        <v>712</v>
      </c>
      <c r="AE821" s="1" t="s">
        <v>69</v>
      </c>
      <c r="AG821" s="1">
        <v>9243670</v>
      </c>
    </row>
    <row r="822" spans="3:33" s="1" customFormat="1" x14ac:dyDescent="0.25">
      <c r="C822" s="1" t="s">
        <v>4898</v>
      </c>
      <c r="D822" s="1" t="s">
        <v>4899</v>
      </c>
      <c r="E822" s="1" t="s">
        <v>4900</v>
      </c>
      <c r="F822" s="13" t="s">
        <v>6952</v>
      </c>
      <c r="H822" s="1" t="s">
        <v>160</v>
      </c>
      <c r="I822" s="1">
        <v>223</v>
      </c>
      <c r="J822" s="1" t="s">
        <v>46</v>
      </c>
      <c r="M822" s="1" t="s">
        <v>1061</v>
      </c>
      <c r="N822" s="1" t="s">
        <v>48</v>
      </c>
      <c r="O822" s="9">
        <v>12</v>
      </c>
      <c r="P822" s="1">
        <f>ROUNDUP(1120*(1-$F$3),2)</f>
        <v>1120</v>
      </c>
      <c r="Q822" s="1" t="s">
        <v>49</v>
      </c>
      <c r="R822" s="1" t="s">
        <v>4901</v>
      </c>
      <c r="S822" s="1" t="s">
        <v>4902</v>
      </c>
      <c r="T822" s="9">
        <v>10</v>
      </c>
      <c r="U822" s="1">
        <f>ROUNDUP(1018.18*(1-$F$3),2)</f>
        <v>1018.18</v>
      </c>
      <c r="V822" s="1">
        <v>286</v>
      </c>
      <c r="Y822" s="1" t="s">
        <v>4903</v>
      </c>
      <c r="Z822" s="1" t="s">
        <v>128</v>
      </c>
      <c r="AA822" s="12">
        <v>43675</v>
      </c>
      <c r="AB822" s="1" t="s">
        <v>66</v>
      </c>
      <c r="AC822" s="1" t="s">
        <v>1271</v>
      </c>
      <c r="AD822" s="1" t="s">
        <v>1272</v>
      </c>
      <c r="AE822" s="1" t="s">
        <v>69</v>
      </c>
      <c r="AG822" s="1">
        <v>9102530</v>
      </c>
    </row>
    <row r="823" spans="3:33" s="1" customFormat="1" x14ac:dyDescent="0.25">
      <c r="C823" s="1" t="s">
        <v>4904</v>
      </c>
      <c r="D823" s="1" t="s">
        <v>4905</v>
      </c>
      <c r="E823" s="1" t="s">
        <v>4906</v>
      </c>
      <c r="F823" s="13" t="s">
        <v>6952</v>
      </c>
      <c r="G823" s="1" t="s">
        <v>44</v>
      </c>
      <c r="H823" s="1" t="s">
        <v>45</v>
      </c>
      <c r="I823" s="1">
        <v>1096</v>
      </c>
      <c r="J823" s="1" t="s">
        <v>46</v>
      </c>
      <c r="M823" s="1" t="s">
        <v>835</v>
      </c>
      <c r="N823" s="1" t="s">
        <v>48</v>
      </c>
      <c r="O823" s="9">
        <v>2</v>
      </c>
      <c r="P823" s="1">
        <f>ROUNDUP(4460*(1-$F$3),2)</f>
        <v>4460</v>
      </c>
      <c r="Q823" s="1" t="s">
        <v>49</v>
      </c>
      <c r="R823" s="1" t="s">
        <v>4907</v>
      </c>
      <c r="S823" s="1" t="s">
        <v>4908</v>
      </c>
      <c r="T823" s="9">
        <v>10</v>
      </c>
      <c r="U823" s="1">
        <f>ROUNDUP(4054.55*(1-$F$3),2)</f>
        <v>4054.55</v>
      </c>
      <c r="V823" s="1">
        <v>2947</v>
      </c>
      <c r="Y823" s="1" t="s">
        <v>4909</v>
      </c>
      <c r="Z823" s="1" t="s">
        <v>53</v>
      </c>
      <c r="AA823" s="12">
        <v>43946</v>
      </c>
      <c r="AB823" s="1" t="s">
        <v>54</v>
      </c>
      <c r="AC823" s="1" t="s">
        <v>646</v>
      </c>
      <c r="AD823" s="1" t="s">
        <v>647</v>
      </c>
      <c r="AE823" s="1" t="s">
        <v>69</v>
      </c>
      <c r="AG823" s="1">
        <v>9378320</v>
      </c>
    </row>
    <row r="824" spans="3:33" s="1" customFormat="1" x14ac:dyDescent="0.25">
      <c r="C824" s="1" t="s">
        <v>4910</v>
      </c>
      <c r="D824" s="1" t="s">
        <v>4911</v>
      </c>
      <c r="E824" s="1" t="s">
        <v>4912</v>
      </c>
      <c r="F824" s="13" t="s">
        <v>6952</v>
      </c>
      <c r="G824" s="1" t="s">
        <v>4913</v>
      </c>
      <c r="H824" s="1" t="s">
        <v>61</v>
      </c>
      <c r="I824" s="1">
        <v>288</v>
      </c>
      <c r="J824" s="1" t="s">
        <v>46</v>
      </c>
      <c r="K824" s="1" t="s">
        <v>261</v>
      </c>
      <c r="M824" s="1" t="s">
        <v>169</v>
      </c>
      <c r="N824" s="1" t="s">
        <v>139</v>
      </c>
      <c r="O824" s="9">
        <v>20</v>
      </c>
      <c r="P824" s="1">
        <f>ROUNDUP(1040*(1-$F$3),2)</f>
        <v>1040</v>
      </c>
      <c r="Q824" s="1" t="s">
        <v>49</v>
      </c>
      <c r="R824" s="1" t="s">
        <v>4914</v>
      </c>
      <c r="S824" s="1" t="s">
        <v>4915</v>
      </c>
      <c r="T824" s="9">
        <v>10</v>
      </c>
      <c r="U824" s="1">
        <f>ROUNDUP(945.45*(1-$F$3),2)</f>
        <v>945.45</v>
      </c>
      <c r="V824" s="1">
        <v>307</v>
      </c>
      <c r="Y824" s="1" t="s">
        <v>4916</v>
      </c>
      <c r="Z824" s="1" t="s">
        <v>53</v>
      </c>
      <c r="AA824" s="12">
        <v>44638</v>
      </c>
      <c r="AB824" s="1" t="s">
        <v>66</v>
      </c>
      <c r="AC824" s="1" t="s">
        <v>491</v>
      </c>
      <c r="AD824" s="1" t="s">
        <v>492</v>
      </c>
      <c r="AE824" s="1" t="s">
        <v>69</v>
      </c>
      <c r="AG824" s="1">
        <v>10369150</v>
      </c>
    </row>
    <row r="825" spans="3:33" s="1" customFormat="1" x14ac:dyDescent="0.25">
      <c r="C825" s="1" t="s">
        <v>4917</v>
      </c>
      <c r="D825" s="1" t="s">
        <v>4918</v>
      </c>
      <c r="E825" s="1" t="s">
        <v>4919</v>
      </c>
      <c r="F825" s="13" t="s">
        <v>6952</v>
      </c>
      <c r="G825" s="1" t="s">
        <v>4913</v>
      </c>
      <c r="H825" s="1" t="s">
        <v>61</v>
      </c>
      <c r="I825" s="1">
        <v>300</v>
      </c>
      <c r="J825" s="1" t="s">
        <v>46</v>
      </c>
      <c r="K825" s="1" t="s">
        <v>261</v>
      </c>
      <c r="M825" s="1" t="s">
        <v>169</v>
      </c>
      <c r="N825" s="1" t="s">
        <v>139</v>
      </c>
      <c r="O825" s="9">
        <v>18</v>
      </c>
      <c r="P825" s="1">
        <f>ROUNDUP(1040*(1-$F$3),2)</f>
        <v>1040</v>
      </c>
      <c r="Q825" s="1" t="s">
        <v>49</v>
      </c>
      <c r="R825" s="1" t="s">
        <v>4920</v>
      </c>
      <c r="S825" s="1" t="s">
        <v>4921</v>
      </c>
      <c r="T825" s="9">
        <v>10</v>
      </c>
      <c r="U825" s="1">
        <f>ROUNDUP(945.45*(1-$F$3),2)</f>
        <v>945.45</v>
      </c>
      <c r="V825" s="1">
        <v>321</v>
      </c>
      <c r="Y825" s="1" t="s">
        <v>4922</v>
      </c>
      <c r="Z825" s="1" t="s">
        <v>53</v>
      </c>
      <c r="AA825" s="12">
        <v>44638</v>
      </c>
      <c r="AB825" s="1" t="s">
        <v>66</v>
      </c>
      <c r="AC825" s="1" t="s">
        <v>491</v>
      </c>
      <c r="AD825" s="1" t="s">
        <v>492</v>
      </c>
      <c r="AE825" s="1" t="s">
        <v>69</v>
      </c>
      <c r="AG825" s="1">
        <v>10369140</v>
      </c>
    </row>
    <row r="826" spans="3:33" s="1" customFormat="1" x14ac:dyDescent="0.25">
      <c r="C826" s="1" t="s">
        <v>4923</v>
      </c>
      <c r="D826" s="1" t="s">
        <v>4924</v>
      </c>
      <c r="E826" s="1" t="s">
        <v>4925</v>
      </c>
      <c r="F826" s="13" t="s">
        <v>6952</v>
      </c>
      <c r="G826" s="1" t="s">
        <v>44</v>
      </c>
      <c r="H826" s="1" t="s">
        <v>61</v>
      </c>
      <c r="I826" s="1">
        <v>222</v>
      </c>
      <c r="J826" s="1" t="s">
        <v>46</v>
      </c>
      <c r="M826" s="1" t="s">
        <v>176</v>
      </c>
      <c r="N826" s="1" t="s">
        <v>139</v>
      </c>
      <c r="O826" s="9">
        <v>24</v>
      </c>
      <c r="P826" s="1">
        <f>ROUNDUP(930*(1-$F$3),2)</f>
        <v>930</v>
      </c>
      <c r="Q826" s="1" t="s">
        <v>49</v>
      </c>
      <c r="R826" s="1" t="s">
        <v>4926</v>
      </c>
      <c r="S826" s="1" t="s">
        <v>4927</v>
      </c>
      <c r="T826" s="9">
        <v>10</v>
      </c>
      <c r="U826" s="1">
        <f>ROUNDUP(845.45*(1-$F$3),2)</f>
        <v>845.45</v>
      </c>
      <c r="V826" s="1">
        <v>239</v>
      </c>
      <c r="Y826" s="1" t="s">
        <v>4928</v>
      </c>
      <c r="Z826" s="1" t="s">
        <v>53</v>
      </c>
      <c r="AA826" s="12">
        <v>44144</v>
      </c>
      <c r="AB826" s="1" t="s">
        <v>66</v>
      </c>
      <c r="AC826" s="1" t="s">
        <v>77</v>
      </c>
      <c r="AD826" s="1" t="s">
        <v>78</v>
      </c>
      <c r="AE826" s="1" t="s">
        <v>69</v>
      </c>
      <c r="AG826" s="1">
        <v>9561480</v>
      </c>
    </row>
    <row r="827" spans="3:33" s="1" customFormat="1" x14ac:dyDescent="0.25">
      <c r="C827" s="1" t="s">
        <v>4929</v>
      </c>
      <c r="D827" s="1" t="s">
        <v>4924</v>
      </c>
      <c r="E827" s="1" t="s">
        <v>4930</v>
      </c>
      <c r="F827" s="13" t="s">
        <v>6952</v>
      </c>
      <c r="G827" s="1" t="s">
        <v>44</v>
      </c>
      <c r="H827" s="1" t="s">
        <v>61</v>
      </c>
      <c r="I827" s="1">
        <v>150</v>
      </c>
      <c r="J827" s="1" t="s">
        <v>46</v>
      </c>
      <c r="M827" s="1" t="s">
        <v>169</v>
      </c>
      <c r="N827" s="1" t="s">
        <v>139</v>
      </c>
      <c r="O827" s="9">
        <v>32</v>
      </c>
      <c r="P827" s="1">
        <f>ROUNDUP(1010*(1-$F$3),2)</f>
        <v>1010</v>
      </c>
      <c r="Q827" s="1" t="s">
        <v>49</v>
      </c>
      <c r="R827" s="1" t="s">
        <v>4931</v>
      </c>
      <c r="S827" s="1" t="s">
        <v>4932</v>
      </c>
      <c r="T827" s="9">
        <v>10</v>
      </c>
      <c r="U827" s="1">
        <f>ROUNDUP(918.18*(1-$F$3),2)</f>
        <v>918.18</v>
      </c>
      <c r="V827" s="1">
        <v>198</v>
      </c>
      <c r="Y827" s="1" t="s">
        <v>4933</v>
      </c>
      <c r="Z827" s="1" t="s">
        <v>53</v>
      </c>
      <c r="AA827" s="12">
        <v>44686</v>
      </c>
      <c r="AB827" s="1" t="s">
        <v>66</v>
      </c>
      <c r="AC827" s="1" t="s">
        <v>120</v>
      </c>
      <c r="AD827" s="1" t="s">
        <v>4934</v>
      </c>
      <c r="AE827" s="1" t="s">
        <v>69</v>
      </c>
      <c r="AG827" s="1">
        <v>10455700</v>
      </c>
    </row>
    <row r="828" spans="3:33" s="1" customFormat="1" x14ac:dyDescent="0.25">
      <c r="C828" s="1" t="s">
        <v>4935</v>
      </c>
      <c r="D828" s="1" t="s">
        <v>4936</v>
      </c>
      <c r="E828" s="1" t="s">
        <v>4937</v>
      </c>
      <c r="F828" s="13" t="s">
        <v>6952</v>
      </c>
      <c r="G828" s="1" t="s">
        <v>44</v>
      </c>
      <c r="H828" s="1" t="s">
        <v>61</v>
      </c>
      <c r="I828" s="1">
        <v>246</v>
      </c>
      <c r="J828" s="1" t="s">
        <v>46</v>
      </c>
      <c r="M828" s="1" t="s">
        <v>169</v>
      </c>
      <c r="N828" s="1" t="s">
        <v>139</v>
      </c>
      <c r="O828" s="9">
        <v>20</v>
      </c>
      <c r="P828" s="1">
        <f>ROUNDUP(1010*(1-$F$3),2)</f>
        <v>1010</v>
      </c>
      <c r="Q828" s="1" t="s">
        <v>49</v>
      </c>
      <c r="R828" s="1" t="s">
        <v>4938</v>
      </c>
      <c r="S828" s="1" t="s">
        <v>4939</v>
      </c>
      <c r="T828" s="9">
        <v>10</v>
      </c>
      <c r="U828" s="1">
        <f>ROUNDUP(918.18*(1-$F$3),2)</f>
        <v>918.18</v>
      </c>
      <c r="V828" s="1">
        <v>315</v>
      </c>
      <c r="Y828" s="1" t="s">
        <v>4940</v>
      </c>
      <c r="Z828" s="1" t="s">
        <v>53</v>
      </c>
      <c r="AA828" s="12">
        <v>44670</v>
      </c>
      <c r="AB828" s="1" t="s">
        <v>66</v>
      </c>
      <c r="AC828" s="1" t="s">
        <v>683</v>
      </c>
      <c r="AD828" s="1" t="s">
        <v>684</v>
      </c>
      <c r="AE828" s="1" t="s">
        <v>69</v>
      </c>
      <c r="AG828" s="1">
        <v>10416050</v>
      </c>
    </row>
    <row r="829" spans="3:33" s="1" customFormat="1" x14ac:dyDescent="0.25">
      <c r="C829" s="1" t="s">
        <v>4941</v>
      </c>
      <c r="D829" s="1" t="s">
        <v>4936</v>
      </c>
      <c r="E829" s="1" t="s">
        <v>4942</v>
      </c>
      <c r="F829" s="13" t="s">
        <v>6952</v>
      </c>
      <c r="G829" s="1" t="s">
        <v>44</v>
      </c>
      <c r="H829" s="1" t="s">
        <v>61</v>
      </c>
      <c r="I829" s="1">
        <v>224</v>
      </c>
      <c r="J829" s="1" t="s">
        <v>46</v>
      </c>
      <c r="M829" s="1" t="s">
        <v>169</v>
      </c>
      <c r="N829" s="1" t="s">
        <v>139</v>
      </c>
      <c r="O829" s="9">
        <v>22</v>
      </c>
      <c r="P829" s="1">
        <f>ROUNDUP(920*(1-$F$3),2)</f>
        <v>920</v>
      </c>
      <c r="Q829" s="1" t="s">
        <v>49</v>
      </c>
      <c r="R829" s="1" t="s">
        <v>4943</v>
      </c>
      <c r="S829" s="1" t="s">
        <v>4944</v>
      </c>
      <c r="T829" s="9">
        <v>10</v>
      </c>
      <c r="U829" s="1">
        <f>ROUNDUP(836.36*(1-$F$3),2)</f>
        <v>836.36</v>
      </c>
      <c r="V829" s="1">
        <v>284</v>
      </c>
      <c r="Y829" s="1" t="s">
        <v>4945</v>
      </c>
      <c r="Z829" s="1" t="s">
        <v>53</v>
      </c>
      <c r="AA829" s="12">
        <v>44669</v>
      </c>
      <c r="AB829" s="1" t="s">
        <v>66</v>
      </c>
      <c r="AC829" s="1" t="s">
        <v>77</v>
      </c>
      <c r="AD829" s="1" t="s">
        <v>78</v>
      </c>
      <c r="AE829" s="1" t="s">
        <v>69</v>
      </c>
      <c r="AG829" s="1">
        <v>10409620</v>
      </c>
    </row>
    <row r="830" spans="3:33" s="1" customFormat="1" x14ac:dyDescent="0.25">
      <c r="C830" s="1" t="s">
        <v>4946</v>
      </c>
      <c r="D830" s="1" t="s">
        <v>4936</v>
      </c>
      <c r="E830" s="1" t="s">
        <v>4947</v>
      </c>
      <c r="F830" s="13" t="s">
        <v>6952</v>
      </c>
      <c r="G830" s="1" t="s">
        <v>44</v>
      </c>
      <c r="H830" s="1" t="s">
        <v>61</v>
      </c>
      <c r="I830" s="1">
        <v>214</v>
      </c>
      <c r="J830" s="1" t="s">
        <v>46</v>
      </c>
      <c r="M830" s="1" t="s">
        <v>169</v>
      </c>
      <c r="N830" s="1" t="s">
        <v>139</v>
      </c>
      <c r="O830" s="9">
        <v>22</v>
      </c>
      <c r="P830" s="1">
        <f>ROUNDUP(860*(1-$F$3),2)</f>
        <v>860</v>
      </c>
      <c r="Q830" s="1" t="s">
        <v>49</v>
      </c>
      <c r="R830" s="1" t="s">
        <v>4948</v>
      </c>
      <c r="S830" s="1" t="s">
        <v>4949</v>
      </c>
      <c r="T830" s="9">
        <v>10</v>
      </c>
      <c r="U830" s="1">
        <f>ROUNDUP(781.82*(1-$F$3),2)</f>
        <v>781.82</v>
      </c>
      <c r="V830" s="1">
        <v>275</v>
      </c>
      <c r="Y830" s="1" t="s">
        <v>4950</v>
      </c>
      <c r="Z830" s="1" t="s">
        <v>53</v>
      </c>
      <c r="AA830" s="12">
        <v>44669</v>
      </c>
      <c r="AB830" s="1" t="s">
        <v>66</v>
      </c>
      <c r="AC830" s="1" t="s">
        <v>120</v>
      </c>
      <c r="AD830" s="1" t="s">
        <v>598</v>
      </c>
      <c r="AE830" s="1" t="s">
        <v>69</v>
      </c>
      <c r="AG830" s="1">
        <v>10425850</v>
      </c>
    </row>
    <row r="831" spans="3:33" s="1" customFormat="1" x14ac:dyDescent="0.25">
      <c r="C831" s="1" t="s">
        <v>4951</v>
      </c>
      <c r="D831" s="1" t="s">
        <v>4952</v>
      </c>
      <c r="E831" s="1" t="s">
        <v>4953</v>
      </c>
      <c r="F831" s="13" t="s">
        <v>6952</v>
      </c>
      <c r="G831" s="1" t="s">
        <v>1859</v>
      </c>
      <c r="H831" s="1" t="s">
        <v>160</v>
      </c>
      <c r="I831" s="1">
        <v>442</v>
      </c>
      <c r="J831" s="1" t="s">
        <v>46</v>
      </c>
      <c r="M831" s="1" t="s">
        <v>2310</v>
      </c>
      <c r="N831" s="1" t="s">
        <v>48</v>
      </c>
      <c r="O831" s="9">
        <v>10</v>
      </c>
      <c r="P831" s="1">
        <f>ROUNDUP(1251.6*(1-$F$3),2)</f>
        <v>1251.5999999999999</v>
      </c>
      <c r="Q831" s="1" t="s">
        <v>49</v>
      </c>
      <c r="R831" s="1" t="s">
        <v>4954</v>
      </c>
      <c r="S831" s="1" t="s">
        <v>4955</v>
      </c>
      <c r="T831" s="9">
        <v>10</v>
      </c>
      <c r="U831" s="1">
        <f>ROUNDUP(1137.82*(1-$F$3),2)</f>
        <v>1137.82</v>
      </c>
      <c r="V831" s="1">
        <v>489</v>
      </c>
      <c r="Y831" s="1" t="s">
        <v>4956</v>
      </c>
      <c r="Z831" s="1" t="s">
        <v>76</v>
      </c>
      <c r="AA831" s="12">
        <v>43110</v>
      </c>
      <c r="AB831" s="1" t="s">
        <v>66</v>
      </c>
      <c r="AC831" s="1" t="s">
        <v>120</v>
      </c>
      <c r="AD831" s="1" t="s">
        <v>598</v>
      </c>
      <c r="AE831" s="1" t="s">
        <v>69</v>
      </c>
      <c r="AG831" s="1">
        <v>8441870</v>
      </c>
    </row>
    <row r="832" spans="3:33" s="1" customFormat="1" x14ac:dyDescent="0.25">
      <c r="C832" s="1" t="s">
        <v>4957</v>
      </c>
      <c r="D832" s="1" t="s">
        <v>4958</v>
      </c>
      <c r="E832" s="1" t="s">
        <v>4959</v>
      </c>
      <c r="F832" s="13" t="s">
        <v>6952</v>
      </c>
      <c r="G832" s="1" t="s">
        <v>4960</v>
      </c>
      <c r="H832" s="1" t="s">
        <v>61</v>
      </c>
      <c r="I832" s="1">
        <v>336</v>
      </c>
      <c r="J832" s="1" t="s">
        <v>46</v>
      </c>
      <c r="M832" s="1" t="s">
        <v>161</v>
      </c>
      <c r="N832" s="1" t="s">
        <v>48</v>
      </c>
      <c r="O832" s="9">
        <v>8</v>
      </c>
      <c r="P832" s="1">
        <f>ROUNDUP(970*(1-$F$3),2)</f>
        <v>970</v>
      </c>
      <c r="Q832" s="1" t="s">
        <v>49</v>
      </c>
      <c r="R832" s="1" t="s">
        <v>4961</v>
      </c>
      <c r="S832" s="1" t="s">
        <v>4962</v>
      </c>
      <c r="T832" s="9">
        <v>10</v>
      </c>
      <c r="U832" s="1">
        <f>ROUNDUP(881.82*(1-$F$3),2)</f>
        <v>881.82</v>
      </c>
      <c r="V832" s="1">
        <v>413</v>
      </c>
      <c r="Y832" s="1" t="s">
        <v>4963</v>
      </c>
      <c r="Z832" s="1" t="s">
        <v>53</v>
      </c>
      <c r="AA832" s="12">
        <v>45143</v>
      </c>
      <c r="AB832" s="1" t="s">
        <v>66</v>
      </c>
      <c r="AC832" s="1" t="s">
        <v>77</v>
      </c>
      <c r="AD832" s="1" t="s">
        <v>605</v>
      </c>
      <c r="AE832" s="1" t="s">
        <v>69</v>
      </c>
      <c r="AG832" s="1">
        <v>11003180</v>
      </c>
    </row>
    <row r="833" spans="3:33" s="1" customFormat="1" x14ac:dyDescent="0.25">
      <c r="C833" s="1" t="s">
        <v>4964</v>
      </c>
      <c r="D833" s="1" t="s">
        <v>4958</v>
      </c>
      <c r="E833" s="1" t="s">
        <v>4965</v>
      </c>
      <c r="F833" s="13" t="s">
        <v>6952</v>
      </c>
      <c r="G833" s="1" t="s">
        <v>4966</v>
      </c>
      <c r="H833" s="1" t="s">
        <v>61</v>
      </c>
      <c r="I833" s="1">
        <v>512</v>
      </c>
      <c r="J833" s="1" t="s">
        <v>46</v>
      </c>
      <c r="M833" s="1" t="s">
        <v>161</v>
      </c>
      <c r="N833" s="1" t="s">
        <v>48</v>
      </c>
      <c r="O833" s="9">
        <v>6</v>
      </c>
      <c r="P833" s="1">
        <f>ROUNDUP(1150*(1-$F$3),2)</f>
        <v>1150</v>
      </c>
      <c r="Q833" s="1" t="s">
        <v>49</v>
      </c>
      <c r="R833" s="1" t="s">
        <v>4967</v>
      </c>
      <c r="S833" s="1" t="s">
        <v>4968</v>
      </c>
      <c r="T833" s="9">
        <v>10</v>
      </c>
      <c r="U833" s="1">
        <f>ROUNDUP(1045.45*(1-$F$3),2)</f>
        <v>1045.45</v>
      </c>
      <c r="V833" s="1">
        <v>581</v>
      </c>
      <c r="Y833" s="1" t="s">
        <v>4969</v>
      </c>
      <c r="Z833" s="1" t="s">
        <v>128</v>
      </c>
      <c r="AA833" s="12">
        <v>45181</v>
      </c>
      <c r="AB833" s="1" t="s">
        <v>66</v>
      </c>
      <c r="AC833" s="1" t="s">
        <v>67</v>
      </c>
      <c r="AD833" s="1" t="s">
        <v>68</v>
      </c>
      <c r="AE833" s="1" t="s">
        <v>69</v>
      </c>
      <c r="AG833" s="1">
        <v>11022610</v>
      </c>
    </row>
    <row r="834" spans="3:33" s="1" customFormat="1" x14ac:dyDescent="0.25">
      <c r="C834" s="1" t="s">
        <v>4970</v>
      </c>
      <c r="D834" s="1" t="s">
        <v>4958</v>
      </c>
      <c r="E834" s="1" t="s">
        <v>4971</v>
      </c>
      <c r="F834" s="13" t="s">
        <v>6952</v>
      </c>
      <c r="G834" s="1" t="s">
        <v>4966</v>
      </c>
      <c r="H834" s="1" t="s">
        <v>61</v>
      </c>
      <c r="I834" s="1">
        <v>368</v>
      </c>
      <c r="J834" s="1" t="s">
        <v>46</v>
      </c>
      <c r="M834" s="1" t="s">
        <v>161</v>
      </c>
      <c r="N834" s="1" t="s">
        <v>48</v>
      </c>
      <c r="O834" s="9">
        <v>8</v>
      </c>
      <c r="P834" s="1">
        <f>ROUNDUP(890*(1-$F$3),2)</f>
        <v>890</v>
      </c>
      <c r="Q834" s="1" t="s">
        <v>49</v>
      </c>
      <c r="R834" s="1" t="s">
        <v>4972</v>
      </c>
      <c r="S834" s="1" t="s">
        <v>4973</v>
      </c>
      <c r="T834" s="9">
        <v>10</v>
      </c>
      <c r="U834" s="1">
        <f>ROUNDUP(809.09*(1-$F$3),2)</f>
        <v>809.09</v>
      </c>
      <c r="V834" s="1">
        <v>447</v>
      </c>
      <c r="Y834" s="1" t="s">
        <v>4974</v>
      </c>
      <c r="Z834" s="1" t="s">
        <v>128</v>
      </c>
      <c r="AA834" s="12">
        <v>45178</v>
      </c>
      <c r="AB834" s="1" t="s">
        <v>66</v>
      </c>
      <c r="AC834" s="1" t="s">
        <v>77</v>
      </c>
      <c r="AD834" s="1" t="s">
        <v>605</v>
      </c>
      <c r="AE834" s="1" t="s">
        <v>69</v>
      </c>
      <c r="AG834" s="1">
        <v>11022620</v>
      </c>
    </row>
    <row r="835" spans="3:33" s="1" customFormat="1" x14ac:dyDescent="0.25">
      <c r="C835" s="1" t="s">
        <v>4975</v>
      </c>
      <c r="D835" s="1" t="s">
        <v>4958</v>
      </c>
      <c r="E835" s="1" t="s">
        <v>4976</v>
      </c>
      <c r="F835" s="13" t="s">
        <v>6952</v>
      </c>
      <c r="G835" s="1" t="s">
        <v>4966</v>
      </c>
      <c r="H835" s="1" t="s">
        <v>61</v>
      </c>
      <c r="I835" s="1">
        <v>960</v>
      </c>
      <c r="J835" s="1" t="s">
        <v>46</v>
      </c>
      <c r="M835" s="1" t="s">
        <v>161</v>
      </c>
      <c r="N835" s="1" t="s">
        <v>48</v>
      </c>
      <c r="O835" s="9">
        <v>4</v>
      </c>
      <c r="P835" s="1">
        <f>ROUNDUP(1670*(1-$F$3),2)</f>
        <v>1670</v>
      </c>
      <c r="Q835" s="1" t="s">
        <v>49</v>
      </c>
      <c r="R835" s="1" t="s">
        <v>4977</v>
      </c>
      <c r="S835" s="1" t="s">
        <v>4978</v>
      </c>
      <c r="T835" s="9">
        <v>10</v>
      </c>
      <c r="U835" s="1">
        <f>ROUNDUP(1518.18*(1-$F$3),2)</f>
        <v>1518.18</v>
      </c>
      <c r="V835" s="1">
        <v>1063</v>
      </c>
      <c r="Y835" s="1" t="s">
        <v>4979</v>
      </c>
      <c r="AA835" s="12">
        <v>45178</v>
      </c>
      <c r="AB835" s="1" t="s">
        <v>66</v>
      </c>
      <c r="AC835" s="1" t="s">
        <v>683</v>
      </c>
      <c r="AD835" s="1" t="s">
        <v>684</v>
      </c>
      <c r="AE835" s="1" t="s">
        <v>69</v>
      </c>
      <c r="AG835" s="1">
        <v>11079440</v>
      </c>
    </row>
    <row r="836" spans="3:33" s="1" customFormat="1" x14ac:dyDescent="0.25">
      <c r="C836" s="1" t="s">
        <v>4980</v>
      </c>
      <c r="D836" s="1" t="s">
        <v>4958</v>
      </c>
      <c r="E836" s="1" t="s">
        <v>4981</v>
      </c>
      <c r="F836" s="13" t="s">
        <v>6952</v>
      </c>
      <c r="G836" s="1" t="s">
        <v>4960</v>
      </c>
      <c r="H836" s="1" t="s">
        <v>61</v>
      </c>
      <c r="I836" s="1">
        <v>336</v>
      </c>
      <c r="J836" s="1" t="s">
        <v>46</v>
      </c>
      <c r="M836" s="1" t="s">
        <v>176</v>
      </c>
      <c r="N836" s="1" t="s">
        <v>48</v>
      </c>
      <c r="O836" s="9">
        <v>12</v>
      </c>
      <c r="P836" s="1">
        <f>ROUNDUP(970*(1-$F$3),2)</f>
        <v>970</v>
      </c>
      <c r="Q836" s="1" t="s">
        <v>49</v>
      </c>
      <c r="R836" s="1" t="s">
        <v>4982</v>
      </c>
      <c r="S836" s="1" t="s">
        <v>4983</v>
      </c>
      <c r="T836" s="9">
        <v>10</v>
      </c>
      <c r="U836" s="1">
        <f>ROUNDUP(881.82*(1-$F$3),2)</f>
        <v>881.82</v>
      </c>
      <c r="V836" s="1">
        <v>433</v>
      </c>
      <c r="Y836" s="1" t="s">
        <v>4984</v>
      </c>
      <c r="Z836" s="1" t="s">
        <v>53</v>
      </c>
      <c r="AA836" s="12">
        <v>45143</v>
      </c>
      <c r="AB836" s="1" t="s">
        <v>66</v>
      </c>
      <c r="AC836" s="1" t="s">
        <v>77</v>
      </c>
      <c r="AD836" s="1" t="s">
        <v>605</v>
      </c>
      <c r="AE836" s="1" t="s">
        <v>69</v>
      </c>
      <c r="AG836" s="1">
        <v>11004000</v>
      </c>
    </row>
    <row r="837" spans="3:33" s="1" customFormat="1" x14ac:dyDescent="0.25">
      <c r="C837" s="1" t="s">
        <v>4985</v>
      </c>
      <c r="D837" s="1" t="s">
        <v>4958</v>
      </c>
      <c r="E837" s="1" t="s">
        <v>4986</v>
      </c>
      <c r="F837" s="13" t="s">
        <v>6952</v>
      </c>
      <c r="G837" s="1" t="s">
        <v>4966</v>
      </c>
      <c r="H837" s="1" t="s">
        <v>61</v>
      </c>
      <c r="I837" s="1">
        <v>1168</v>
      </c>
      <c r="J837" s="1" t="s">
        <v>46</v>
      </c>
      <c r="M837" s="1" t="s">
        <v>161</v>
      </c>
      <c r="N837" s="1" t="s">
        <v>48</v>
      </c>
      <c r="O837" s="9">
        <v>2</v>
      </c>
      <c r="P837" s="1">
        <f>ROUNDUP(2190*(1-$F$3),2)</f>
        <v>2190</v>
      </c>
      <c r="Q837" s="1" t="s">
        <v>49</v>
      </c>
      <c r="R837" s="1" t="s">
        <v>4987</v>
      </c>
      <c r="S837" s="1" t="s">
        <v>4988</v>
      </c>
      <c r="T837" s="9">
        <v>10</v>
      </c>
      <c r="U837" s="1">
        <f>ROUNDUP(1990.91*(1-$F$3),2)</f>
        <v>1990.91</v>
      </c>
      <c r="V837" s="1">
        <v>1361</v>
      </c>
      <c r="Y837" s="1" t="s">
        <v>4989</v>
      </c>
      <c r="AA837" s="12">
        <v>45178</v>
      </c>
      <c r="AB837" s="1" t="s">
        <v>66</v>
      </c>
      <c r="AC837" s="1" t="s">
        <v>77</v>
      </c>
      <c r="AD837" s="1" t="s">
        <v>605</v>
      </c>
      <c r="AE837" s="1" t="s">
        <v>69</v>
      </c>
      <c r="AG837" s="1">
        <v>11079410</v>
      </c>
    </row>
    <row r="838" spans="3:33" s="1" customFormat="1" x14ac:dyDescent="0.25">
      <c r="C838" s="1" t="s">
        <v>4990</v>
      </c>
      <c r="D838" s="1" t="s">
        <v>4991</v>
      </c>
      <c r="E838" s="1" t="s">
        <v>4992</v>
      </c>
      <c r="F838" s="13" t="s">
        <v>6952</v>
      </c>
      <c r="G838" s="1" t="s">
        <v>4993</v>
      </c>
      <c r="H838" s="1" t="s">
        <v>1240</v>
      </c>
      <c r="I838" s="1">
        <v>512</v>
      </c>
      <c r="J838" s="1" t="s">
        <v>46</v>
      </c>
      <c r="M838" s="1" t="s">
        <v>2310</v>
      </c>
      <c r="N838" s="1" t="s">
        <v>139</v>
      </c>
      <c r="O838" s="9">
        <v>8</v>
      </c>
      <c r="P838" s="1">
        <f>ROUNDUP(1020*(1-$F$3),2)</f>
        <v>1020</v>
      </c>
      <c r="Q838" s="1" t="s">
        <v>49</v>
      </c>
      <c r="R838" s="1" t="s">
        <v>4994</v>
      </c>
      <c r="S838" s="1" t="s">
        <v>4995</v>
      </c>
      <c r="T838" s="9">
        <v>10</v>
      </c>
      <c r="U838" s="1">
        <f>ROUNDUP(927.27*(1-$F$3),2)</f>
        <v>927.27</v>
      </c>
      <c r="V838" s="1">
        <v>375</v>
      </c>
      <c r="Y838" s="1" t="s">
        <v>4996</v>
      </c>
      <c r="Z838" s="1" t="s">
        <v>128</v>
      </c>
      <c r="AA838" s="12">
        <v>43066</v>
      </c>
      <c r="AB838" s="1" t="s">
        <v>95</v>
      </c>
      <c r="AC838" s="1" t="s">
        <v>96</v>
      </c>
      <c r="AD838" s="1" t="s">
        <v>97</v>
      </c>
      <c r="AE838" s="1" t="s">
        <v>69</v>
      </c>
      <c r="AG838" s="1">
        <v>8375170</v>
      </c>
    </row>
    <row r="839" spans="3:33" s="1" customFormat="1" x14ac:dyDescent="0.25">
      <c r="C839" s="1" t="s">
        <v>4997</v>
      </c>
      <c r="D839" s="1" t="s">
        <v>4998</v>
      </c>
      <c r="E839" s="1" t="s">
        <v>4999</v>
      </c>
      <c r="F839" s="13" t="s">
        <v>6952</v>
      </c>
      <c r="G839" s="1" t="s">
        <v>1488</v>
      </c>
      <c r="H839" s="1" t="s">
        <v>61</v>
      </c>
      <c r="I839" s="1">
        <v>416</v>
      </c>
      <c r="J839" s="1" t="s">
        <v>46</v>
      </c>
      <c r="K839" s="1" t="s">
        <v>1566</v>
      </c>
      <c r="M839" s="1" t="s">
        <v>756</v>
      </c>
      <c r="N839" s="1" t="s">
        <v>48</v>
      </c>
      <c r="O839" s="9">
        <v>8</v>
      </c>
      <c r="P839" s="1">
        <f>ROUNDUP(1180*(1-$F$3),2)</f>
        <v>1180</v>
      </c>
      <c r="Q839" s="1" t="s">
        <v>49</v>
      </c>
      <c r="R839" s="1" t="s">
        <v>5000</v>
      </c>
      <c r="S839" s="1" t="s">
        <v>5001</v>
      </c>
      <c r="T839" s="9">
        <v>10</v>
      </c>
      <c r="U839" s="1">
        <f>ROUNDUP(1072.73*(1-$F$3),2)</f>
        <v>1072.73</v>
      </c>
      <c r="V839" s="1">
        <v>541</v>
      </c>
      <c r="Y839" s="1" t="s">
        <v>5002</v>
      </c>
      <c r="Z839" s="1" t="s">
        <v>53</v>
      </c>
      <c r="AA839" s="12">
        <v>43434</v>
      </c>
      <c r="AB839" s="1" t="s">
        <v>66</v>
      </c>
      <c r="AC839" s="1" t="s">
        <v>143</v>
      </c>
      <c r="AD839" s="1" t="s">
        <v>847</v>
      </c>
      <c r="AE839" s="1" t="s">
        <v>69</v>
      </c>
      <c r="AG839" s="1">
        <v>8858980</v>
      </c>
    </row>
    <row r="840" spans="3:33" s="1" customFormat="1" x14ac:dyDescent="0.25">
      <c r="C840" s="1" t="s">
        <v>5003</v>
      </c>
      <c r="D840" s="1" t="s">
        <v>4998</v>
      </c>
      <c r="E840" s="1" t="s">
        <v>5004</v>
      </c>
      <c r="F840" s="13" t="s">
        <v>6952</v>
      </c>
      <c r="G840" s="1" t="s">
        <v>2324</v>
      </c>
      <c r="H840" s="1" t="s">
        <v>61</v>
      </c>
      <c r="I840" s="1">
        <v>255</v>
      </c>
      <c r="J840" s="1" t="s">
        <v>46</v>
      </c>
      <c r="K840" s="1" t="s">
        <v>1566</v>
      </c>
      <c r="M840" s="1" t="s">
        <v>1061</v>
      </c>
      <c r="N840" s="1" t="s">
        <v>48</v>
      </c>
      <c r="O840" s="9">
        <v>18</v>
      </c>
      <c r="P840" s="1">
        <f>ROUNDUP(1020*(1-$F$3),2)</f>
        <v>1020</v>
      </c>
      <c r="Q840" s="1" t="s">
        <v>49</v>
      </c>
      <c r="R840" s="1" t="s">
        <v>5005</v>
      </c>
      <c r="S840" s="1" t="s">
        <v>5006</v>
      </c>
      <c r="T840" s="9">
        <v>10</v>
      </c>
      <c r="U840" s="1">
        <f>ROUNDUP(927.27*(1-$F$3),2)</f>
        <v>927.27</v>
      </c>
      <c r="V840" s="1">
        <v>346</v>
      </c>
      <c r="Y840" s="1" t="s">
        <v>5007</v>
      </c>
      <c r="Z840" s="1" t="s">
        <v>53</v>
      </c>
      <c r="AA840" s="12">
        <v>43549</v>
      </c>
      <c r="AB840" s="1" t="s">
        <v>66</v>
      </c>
      <c r="AC840" s="1" t="s">
        <v>143</v>
      </c>
      <c r="AD840" s="1" t="s">
        <v>847</v>
      </c>
      <c r="AE840" s="1" t="s">
        <v>69</v>
      </c>
      <c r="AG840" s="1">
        <v>8987000</v>
      </c>
    </row>
    <row r="841" spans="3:33" s="1" customFormat="1" x14ac:dyDescent="0.25">
      <c r="C841" s="1" t="s">
        <v>5008</v>
      </c>
      <c r="D841" s="1" t="s">
        <v>4998</v>
      </c>
      <c r="E841" s="1" t="s">
        <v>2329</v>
      </c>
      <c r="F841" s="13" t="s">
        <v>6952</v>
      </c>
      <c r="G841" s="1" t="s">
        <v>2330</v>
      </c>
      <c r="H841" s="1" t="s">
        <v>61</v>
      </c>
      <c r="I841" s="1">
        <v>271</v>
      </c>
      <c r="J841" s="1" t="s">
        <v>46</v>
      </c>
      <c r="K841" s="1" t="s">
        <v>1566</v>
      </c>
      <c r="M841" s="1" t="s">
        <v>1061</v>
      </c>
      <c r="N841" s="1" t="s">
        <v>48</v>
      </c>
      <c r="O841" s="9">
        <v>18</v>
      </c>
      <c r="P841" s="1">
        <f>ROUNDUP(1120*(1-$F$3),2)</f>
        <v>1120</v>
      </c>
      <c r="Q841" s="1" t="s">
        <v>49</v>
      </c>
      <c r="R841" s="1" t="s">
        <v>5009</v>
      </c>
      <c r="S841" s="1" t="s">
        <v>5010</v>
      </c>
      <c r="T841" s="9">
        <v>10</v>
      </c>
      <c r="U841" s="1">
        <f>ROUNDUP(1018.18*(1-$F$3),2)</f>
        <v>1018.18</v>
      </c>
      <c r="V841" s="1">
        <v>361</v>
      </c>
      <c r="Y841" s="1" t="s">
        <v>2333</v>
      </c>
      <c r="Z841" s="1" t="s">
        <v>53</v>
      </c>
      <c r="AA841" s="12">
        <v>43550</v>
      </c>
      <c r="AB841" s="1" t="s">
        <v>66</v>
      </c>
      <c r="AC841" s="1" t="s">
        <v>143</v>
      </c>
      <c r="AD841" s="1" t="s">
        <v>847</v>
      </c>
      <c r="AE841" s="1" t="s">
        <v>69</v>
      </c>
      <c r="AG841" s="1">
        <v>8989680</v>
      </c>
    </row>
    <row r="842" spans="3:33" s="1" customFormat="1" x14ac:dyDescent="0.25">
      <c r="C842" s="1" t="s">
        <v>5011</v>
      </c>
      <c r="D842" s="1" t="s">
        <v>5012</v>
      </c>
      <c r="E842" s="1" t="s">
        <v>5013</v>
      </c>
      <c r="F842" s="13" t="s">
        <v>6952</v>
      </c>
      <c r="G842" s="1" t="s">
        <v>282</v>
      </c>
      <c r="H842" s="1" t="s">
        <v>82</v>
      </c>
      <c r="I842" s="1">
        <v>384</v>
      </c>
      <c r="J842" s="1" t="s">
        <v>46</v>
      </c>
      <c r="M842" s="1" t="s">
        <v>62</v>
      </c>
      <c r="N842" s="1" t="s">
        <v>48</v>
      </c>
      <c r="O842" s="9">
        <v>4</v>
      </c>
      <c r="P842" s="1">
        <f>ROUNDUP(1880*(1-$F$3),2)</f>
        <v>1880</v>
      </c>
      <c r="Q842" s="1" t="s">
        <v>49</v>
      </c>
      <c r="R842" s="1" t="s">
        <v>5014</v>
      </c>
      <c r="S842" s="1" t="s">
        <v>5015</v>
      </c>
      <c r="T842" s="9">
        <v>22</v>
      </c>
      <c r="U842" s="1">
        <f>ROUNDUP(1540.98*(1-$F$3),2)</f>
        <v>1540.98</v>
      </c>
      <c r="V842" s="1">
        <v>853</v>
      </c>
      <c r="Y842" s="1" t="s">
        <v>5016</v>
      </c>
      <c r="Z842" s="1" t="s">
        <v>76</v>
      </c>
      <c r="AA842" s="12">
        <v>45209</v>
      </c>
      <c r="AB842" s="1" t="s">
        <v>95</v>
      </c>
      <c r="AC842" s="1" t="s">
        <v>96</v>
      </c>
      <c r="AD842" s="1" t="s">
        <v>5017</v>
      </c>
      <c r="AE842" s="1" t="s">
        <v>69</v>
      </c>
      <c r="AG842" s="1">
        <v>11062610</v>
      </c>
    </row>
    <row r="843" spans="3:33" s="1" customFormat="1" x14ac:dyDescent="0.25">
      <c r="C843" s="1" t="s">
        <v>5018</v>
      </c>
      <c r="D843" s="1" t="s">
        <v>5012</v>
      </c>
      <c r="E843" s="1" t="s">
        <v>5019</v>
      </c>
      <c r="F843" s="13" t="s">
        <v>6952</v>
      </c>
      <c r="G843" s="1" t="s">
        <v>282</v>
      </c>
      <c r="H843" s="1" t="s">
        <v>82</v>
      </c>
      <c r="I843" s="1">
        <v>448</v>
      </c>
      <c r="J843" s="1" t="s">
        <v>46</v>
      </c>
      <c r="M843" s="1" t="s">
        <v>62</v>
      </c>
      <c r="N843" s="1" t="s">
        <v>48</v>
      </c>
      <c r="O843" s="9">
        <v>5</v>
      </c>
      <c r="P843" s="1">
        <f>ROUNDUP(1500*(1-$F$3),2)</f>
        <v>1500</v>
      </c>
      <c r="Q843" s="1" t="s">
        <v>49</v>
      </c>
      <c r="R843" s="1" t="s">
        <v>5020</v>
      </c>
      <c r="S843" s="1" t="s">
        <v>5021</v>
      </c>
      <c r="T843" s="9">
        <v>22</v>
      </c>
      <c r="U843" s="1">
        <f>ROUNDUP(1229.51*(1-$F$3),2)</f>
        <v>1229.51</v>
      </c>
      <c r="V843" s="1">
        <v>625</v>
      </c>
      <c r="Y843" s="1" t="s">
        <v>5022</v>
      </c>
      <c r="Z843" s="1" t="s">
        <v>76</v>
      </c>
      <c r="AA843" s="12">
        <v>45566</v>
      </c>
      <c r="AB843" s="1" t="s">
        <v>95</v>
      </c>
      <c r="AC843" s="1" t="s">
        <v>96</v>
      </c>
      <c r="AD843" s="1" t="s">
        <v>5017</v>
      </c>
      <c r="AE843" s="1" t="s">
        <v>69</v>
      </c>
      <c r="AG843" s="1">
        <v>11498970</v>
      </c>
    </row>
    <row r="844" spans="3:33" s="1" customFormat="1" x14ac:dyDescent="0.25">
      <c r="C844" s="1" t="s">
        <v>5023</v>
      </c>
      <c r="D844" s="1" t="s">
        <v>5024</v>
      </c>
      <c r="E844" s="1" t="s">
        <v>5025</v>
      </c>
      <c r="F844" s="13" t="s">
        <v>6952</v>
      </c>
      <c r="G844" s="1" t="s">
        <v>5026</v>
      </c>
      <c r="H844" s="1" t="s">
        <v>637</v>
      </c>
      <c r="I844" s="1">
        <v>304</v>
      </c>
      <c r="J844" s="1" t="s">
        <v>46</v>
      </c>
      <c r="M844" s="1" t="s">
        <v>47</v>
      </c>
      <c r="N844" s="1" t="s">
        <v>48</v>
      </c>
      <c r="O844" s="9">
        <v>6</v>
      </c>
      <c r="P844" s="1">
        <f>ROUNDUP(2090*(1-$F$3),2)</f>
        <v>2090</v>
      </c>
      <c r="Q844" s="1" t="s">
        <v>49</v>
      </c>
      <c r="R844" s="1" t="s">
        <v>5027</v>
      </c>
      <c r="S844" s="1" t="s">
        <v>5028</v>
      </c>
      <c r="T844" s="9">
        <v>22</v>
      </c>
      <c r="U844" s="1">
        <f>ROUNDUP(1713.11*(1-$F$3),2)</f>
        <v>1713.11</v>
      </c>
      <c r="V844" s="1">
        <v>747</v>
      </c>
      <c r="Y844" s="1" t="s">
        <v>5029</v>
      </c>
      <c r="Z844" s="1" t="s">
        <v>76</v>
      </c>
      <c r="AA844" s="12">
        <v>45753</v>
      </c>
      <c r="AB844" s="1" t="s">
        <v>445</v>
      </c>
      <c r="AC844" s="1" t="s">
        <v>446</v>
      </c>
      <c r="AD844" s="1" t="s">
        <v>3205</v>
      </c>
      <c r="AE844" s="1" t="s">
        <v>57</v>
      </c>
      <c r="AG844" s="1">
        <v>11679850</v>
      </c>
    </row>
    <row r="845" spans="3:33" s="1" customFormat="1" x14ac:dyDescent="0.25">
      <c r="C845" s="1" t="s">
        <v>5030</v>
      </c>
      <c r="D845" s="1" t="s">
        <v>5024</v>
      </c>
      <c r="E845" s="1" t="s">
        <v>5031</v>
      </c>
      <c r="F845" s="13" t="s">
        <v>6952</v>
      </c>
      <c r="G845" s="1" t="s">
        <v>5026</v>
      </c>
      <c r="H845" s="1" t="s">
        <v>637</v>
      </c>
      <c r="I845" s="1">
        <v>208</v>
      </c>
      <c r="J845" s="1" t="s">
        <v>46</v>
      </c>
      <c r="M845" s="1" t="s">
        <v>47</v>
      </c>
      <c r="N845" s="1" t="s">
        <v>48</v>
      </c>
      <c r="O845" s="9">
        <v>8</v>
      </c>
      <c r="P845" s="1">
        <f>ROUNDUP(1520*(1-$F$3),2)</f>
        <v>1520</v>
      </c>
      <c r="Q845" s="1" t="s">
        <v>49</v>
      </c>
      <c r="R845" s="1" t="s">
        <v>5032</v>
      </c>
      <c r="S845" s="1" t="s">
        <v>5033</v>
      </c>
      <c r="T845" s="9">
        <v>10</v>
      </c>
      <c r="U845" s="1">
        <f>ROUNDUP(1381.82*(1-$F$3),2)</f>
        <v>1381.82</v>
      </c>
      <c r="V845" s="1">
        <v>557</v>
      </c>
      <c r="Y845" s="1" t="s">
        <v>5034</v>
      </c>
      <c r="Z845" s="1" t="s">
        <v>128</v>
      </c>
      <c r="AA845" s="12">
        <v>45753</v>
      </c>
      <c r="AB845" s="1" t="s">
        <v>445</v>
      </c>
      <c r="AC845" s="1" t="s">
        <v>446</v>
      </c>
      <c r="AD845" s="1" t="s">
        <v>3205</v>
      </c>
      <c r="AE845" s="1" t="s">
        <v>57</v>
      </c>
      <c r="AG845" s="1">
        <v>11679640</v>
      </c>
    </row>
    <row r="846" spans="3:33" s="1" customFormat="1" x14ac:dyDescent="0.25">
      <c r="C846" s="1" t="s">
        <v>5035</v>
      </c>
      <c r="D846" s="1" t="s">
        <v>5036</v>
      </c>
      <c r="E846" s="1" t="s">
        <v>5037</v>
      </c>
      <c r="F846" s="13" t="s">
        <v>6952</v>
      </c>
      <c r="G846" s="1" t="s">
        <v>5038</v>
      </c>
      <c r="H846" s="1" t="s">
        <v>61</v>
      </c>
      <c r="I846" s="1">
        <v>239</v>
      </c>
      <c r="J846" s="1" t="s">
        <v>46</v>
      </c>
      <c r="K846" s="1" t="s">
        <v>1566</v>
      </c>
      <c r="M846" s="1" t="s">
        <v>1061</v>
      </c>
      <c r="N846" s="1" t="s">
        <v>139</v>
      </c>
      <c r="O846" s="9">
        <v>16</v>
      </c>
      <c r="P846" s="1">
        <f>ROUNDUP(870*(1-$F$3),2)</f>
        <v>870</v>
      </c>
      <c r="Q846" s="1" t="s">
        <v>49</v>
      </c>
      <c r="R846" s="1" t="s">
        <v>5039</v>
      </c>
      <c r="S846" s="1" t="s">
        <v>5040</v>
      </c>
      <c r="T846" s="9">
        <v>10</v>
      </c>
      <c r="U846" s="1">
        <f>ROUNDUP(790.91*(1-$F$3),2)</f>
        <v>790.91</v>
      </c>
      <c r="V846" s="1">
        <v>271</v>
      </c>
      <c r="Y846" s="1" t="s">
        <v>5041</v>
      </c>
      <c r="Z846" s="1" t="s">
        <v>128</v>
      </c>
      <c r="AA846" s="12">
        <v>43490</v>
      </c>
      <c r="AB846" s="1" t="s">
        <v>66</v>
      </c>
      <c r="AC846" s="1" t="s">
        <v>143</v>
      </c>
      <c r="AD846" s="1" t="s">
        <v>144</v>
      </c>
      <c r="AE846" s="1" t="s">
        <v>69</v>
      </c>
      <c r="AG846" s="1">
        <v>8917380</v>
      </c>
    </row>
    <row r="847" spans="3:33" s="1" customFormat="1" x14ac:dyDescent="0.25">
      <c r="C847" s="1" t="s">
        <v>5042</v>
      </c>
      <c r="D847" s="1" t="s">
        <v>5043</v>
      </c>
      <c r="E847" s="1" t="s">
        <v>5044</v>
      </c>
      <c r="F847" s="13" t="s">
        <v>6952</v>
      </c>
      <c r="G847" s="1" t="s">
        <v>2903</v>
      </c>
      <c r="H847" s="1" t="s">
        <v>61</v>
      </c>
      <c r="I847" s="1">
        <v>304</v>
      </c>
      <c r="J847" s="1" t="s">
        <v>46</v>
      </c>
      <c r="M847" s="1" t="s">
        <v>176</v>
      </c>
      <c r="N847" s="1" t="s">
        <v>48</v>
      </c>
      <c r="O847" s="9">
        <v>12</v>
      </c>
      <c r="P847" s="1">
        <f>ROUNDUP(1410*(1-$F$3),2)</f>
        <v>1410</v>
      </c>
      <c r="Q847" s="1" t="s">
        <v>49</v>
      </c>
      <c r="R847" s="1" t="s">
        <v>5045</v>
      </c>
      <c r="S847" s="1" t="s">
        <v>5046</v>
      </c>
      <c r="T847" s="9">
        <v>10</v>
      </c>
      <c r="U847" s="1">
        <f>ROUNDUP(1281.82*(1-$F$3),2)</f>
        <v>1281.82</v>
      </c>
      <c r="V847" s="1">
        <v>477</v>
      </c>
      <c r="Y847" s="1" t="s">
        <v>5047</v>
      </c>
      <c r="Z847" s="1" t="s">
        <v>128</v>
      </c>
      <c r="AA847" s="12">
        <v>45583</v>
      </c>
      <c r="AB847" s="1" t="s">
        <v>573</v>
      </c>
      <c r="AC847" s="1" t="s">
        <v>66</v>
      </c>
      <c r="AD847" s="1" t="s">
        <v>574</v>
      </c>
      <c r="AE847" s="1" t="s">
        <v>69</v>
      </c>
      <c r="AG847" s="1">
        <v>11498740</v>
      </c>
    </row>
    <row r="848" spans="3:33" s="1" customFormat="1" x14ac:dyDescent="0.25">
      <c r="C848" s="1" t="s">
        <v>5048</v>
      </c>
      <c r="D848" s="1" t="s">
        <v>5043</v>
      </c>
      <c r="E848" s="1" t="s">
        <v>5049</v>
      </c>
      <c r="F848" s="13" t="s">
        <v>6952</v>
      </c>
      <c r="G848" s="1" t="s">
        <v>2903</v>
      </c>
      <c r="H848" s="1" t="s">
        <v>61</v>
      </c>
      <c r="I848" s="1">
        <v>256</v>
      </c>
      <c r="J848" s="1" t="s">
        <v>46</v>
      </c>
      <c r="M848" s="1" t="s">
        <v>176</v>
      </c>
      <c r="N848" s="1" t="s">
        <v>48</v>
      </c>
      <c r="O848" s="9">
        <v>12</v>
      </c>
      <c r="P848" s="1">
        <f>ROUNDUP(1290*(1-$F$3),2)</f>
        <v>1290</v>
      </c>
      <c r="Q848" s="1" t="s">
        <v>49</v>
      </c>
      <c r="R848" s="1" t="s">
        <v>5050</v>
      </c>
      <c r="S848" s="1" t="s">
        <v>5051</v>
      </c>
      <c r="T848" s="9">
        <v>10</v>
      </c>
      <c r="U848" s="1">
        <f>ROUNDUP(1172.73*(1-$F$3),2)</f>
        <v>1172.73</v>
      </c>
      <c r="V848" s="1">
        <v>421</v>
      </c>
      <c r="Y848" s="1" t="s">
        <v>5052</v>
      </c>
      <c r="Z848" s="1" t="s">
        <v>128</v>
      </c>
      <c r="AA848" s="12">
        <v>45582</v>
      </c>
      <c r="AB848" s="1" t="s">
        <v>573</v>
      </c>
      <c r="AC848" s="1" t="s">
        <v>66</v>
      </c>
      <c r="AD848" s="1" t="s">
        <v>574</v>
      </c>
      <c r="AE848" s="1" t="s">
        <v>69</v>
      </c>
      <c r="AG848" s="1">
        <v>11498750</v>
      </c>
    </row>
    <row r="849" spans="3:33" s="1" customFormat="1" x14ac:dyDescent="0.25">
      <c r="C849" s="1" t="s">
        <v>5053</v>
      </c>
      <c r="D849" s="1" t="s">
        <v>5043</v>
      </c>
      <c r="E849" s="1" t="s">
        <v>5054</v>
      </c>
      <c r="F849" s="13" t="s">
        <v>6952</v>
      </c>
      <c r="G849" s="1" t="s">
        <v>2903</v>
      </c>
      <c r="H849" s="1" t="s">
        <v>61</v>
      </c>
      <c r="I849" s="1">
        <v>304</v>
      </c>
      <c r="J849" s="1" t="s">
        <v>46</v>
      </c>
      <c r="M849" s="1" t="s">
        <v>176</v>
      </c>
      <c r="N849" s="1" t="s">
        <v>48</v>
      </c>
      <c r="O849" s="9">
        <v>12</v>
      </c>
      <c r="P849" s="1">
        <f>ROUNDUP(1400*(1-$F$3),2)</f>
        <v>1400</v>
      </c>
      <c r="Q849" s="1" t="s">
        <v>49</v>
      </c>
      <c r="R849" s="1" t="s">
        <v>5055</v>
      </c>
      <c r="S849" s="1" t="s">
        <v>5056</v>
      </c>
      <c r="T849" s="9">
        <v>10</v>
      </c>
      <c r="U849" s="1">
        <f>ROUNDUP(1272.73*(1-$F$3),2)</f>
        <v>1272.73</v>
      </c>
      <c r="V849" s="1">
        <v>494</v>
      </c>
      <c r="Y849" s="1" t="s">
        <v>5057</v>
      </c>
      <c r="Z849" s="1" t="s">
        <v>128</v>
      </c>
      <c r="AA849" s="12">
        <v>45574</v>
      </c>
      <c r="AB849" s="1" t="s">
        <v>573</v>
      </c>
      <c r="AC849" s="1" t="s">
        <v>66</v>
      </c>
      <c r="AD849" s="1" t="s">
        <v>574</v>
      </c>
      <c r="AE849" s="1" t="s">
        <v>69</v>
      </c>
      <c r="AG849" s="1">
        <v>11496590</v>
      </c>
    </row>
    <row r="850" spans="3:33" s="1" customFormat="1" x14ac:dyDescent="0.25">
      <c r="C850" s="1" t="s">
        <v>5058</v>
      </c>
      <c r="D850" s="1" t="s">
        <v>5043</v>
      </c>
      <c r="E850" s="1" t="s">
        <v>5059</v>
      </c>
      <c r="F850" s="13" t="s">
        <v>6952</v>
      </c>
      <c r="G850" s="1" t="s">
        <v>2903</v>
      </c>
      <c r="H850" s="1" t="s">
        <v>61</v>
      </c>
      <c r="I850" s="1">
        <v>320</v>
      </c>
      <c r="J850" s="1" t="s">
        <v>46</v>
      </c>
      <c r="M850" s="1" t="s">
        <v>176</v>
      </c>
      <c r="N850" s="1" t="s">
        <v>48</v>
      </c>
      <c r="O850" s="9">
        <v>10</v>
      </c>
      <c r="P850" s="1">
        <f>ROUNDUP(1400*(1-$F$3),2)</f>
        <v>1400</v>
      </c>
      <c r="Q850" s="1" t="s">
        <v>49</v>
      </c>
      <c r="R850" s="1" t="s">
        <v>5060</v>
      </c>
      <c r="S850" s="1" t="s">
        <v>5061</v>
      </c>
      <c r="T850" s="9">
        <v>10</v>
      </c>
      <c r="U850" s="1">
        <f>ROUNDUP(1272.73*(1-$F$3),2)</f>
        <v>1272.73</v>
      </c>
      <c r="V850" s="1">
        <v>516</v>
      </c>
      <c r="Y850" s="1" t="s">
        <v>5062</v>
      </c>
      <c r="Z850" s="1" t="s">
        <v>128</v>
      </c>
      <c r="AA850" s="12">
        <v>45574</v>
      </c>
      <c r="AB850" s="1" t="s">
        <v>573</v>
      </c>
      <c r="AC850" s="1" t="s">
        <v>66</v>
      </c>
      <c r="AD850" s="1" t="s">
        <v>574</v>
      </c>
      <c r="AE850" s="1" t="s">
        <v>69</v>
      </c>
      <c r="AG850" s="1">
        <v>11496610</v>
      </c>
    </row>
    <row r="851" spans="3:33" s="1" customFormat="1" x14ac:dyDescent="0.25">
      <c r="C851" s="1" t="s">
        <v>5063</v>
      </c>
      <c r="D851" s="1" t="s">
        <v>5043</v>
      </c>
      <c r="E851" s="1" t="s">
        <v>5064</v>
      </c>
      <c r="F851" s="13" t="s">
        <v>6952</v>
      </c>
      <c r="G851" s="1" t="s">
        <v>2903</v>
      </c>
      <c r="H851" s="1" t="s">
        <v>61</v>
      </c>
      <c r="I851" s="1">
        <v>336</v>
      </c>
      <c r="J851" s="1" t="s">
        <v>46</v>
      </c>
      <c r="M851" s="1" t="s">
        <v>176</v>
      </c>
      <c r="N851" s="1" t="s">
        <v>48</v>
      </c>
      <c r="O851" s="9">
        <v>10</v>
      </c>
      <c r="P851" s="1">
        <f>ROUNDUP(1400*(1-$F$3),2)</f>
        <v>1400</v>
      </c>
      <c r="Q851" s="1" t="s">
        <v>49</v>
      </c>
      <c r="R851" s="1" t="s">
        <v>5065</v>
      </c>
      <c r="S851" s="1" t="s">
        <v>5066</v>
      </c>
      <c r="T851" s="9">
        <v>10</v>
      </c>
      <c r="U851" s="1">
        <f>ROUNDUP(1272.73*(1-$F$3),2)</f>
        <v>1272.73</v>
      </c>
      <c r="V851" s="1">
        <v>539</v>
      </c>
      <c r="Y851" s="1" t="s">
        <v>5067</v>
      </c>
      <c r="Z851" s="1" t="s">
        <v>128</v>
      </c>
      <c r="AA851" s="12">
        <v>45574</v>
      </c>
      <c r="AB851" s="1" t="s">
        <v>573</v>
      </c>
      <c r="AC851" s="1" t="s">
        <v>66</v>
      </c>
      <c r="AD851" s="1" t="s">
        <v>574</v>
      </c>
      <c r="AE851" s="1" t="s">
        <v>69</v>
      </c>
      <c r="AG851" s="1">
        <v>11496600</v>
      </c>
    </row>
    <row r="852" spans="3:33" s="1" customFormat="1" x14ac:dyDescent="0.25">
      <c r="C852" s="1" t="s">
        <v>5068</v>
      </c>
      <c r="D852" s="1" t="s">
        <v>5043</v>
      </c>
      <c r="E852" s="1" t="s">
        <v>5069</v>
      </c>
      <c r="F852" s="13" t="s">
        <v>6952</v>
      </c>
      <c r="G852" s="1" t="s">
        <v>2903</v>
      </c>
      <c r="H852" s="1" t="s">
        <v>61</v>
      </c>
      <c r="I852" s="1">
        <v>240</v>
      </c>
      <c r="J852" s="1" t="s">
        <v>46</v>
      </c>
      <c r="M852" s="1" t="s">
        <v>176</v>
      </c>
      <c r="N852" s="1" t="s">
        <v>48</v>
      </c>
      <c r="O852" s="9">
        <v>10</v>
      </c>
      <c r="P852" s="1">
        <f>ROUNDUP(1000*(1-$F$3),2)</f>
        <v>1000</v>
      </c>
      <c r="Q852" s="1" t="s">
        <v>49</v>
      </c>
      <c r="R852" s="1" t="s">
        <v>5070</v>
      </c>
      <c r="S852" s="1" t="s">
        <v>5071</v>
      </c>
      <c r="T852" s="9">
        <v>10</v>
      </c>
      <c r="U852" s="1">
        <f>ROUNDUP(909.09*(1-$F$3),2)</f>
        <v>909.09</v>
      </c>
      <c r="V852" s="1">
        <v>403</v>
      </c>
      <c r="Y852" s="1" t="s">
        <v>5072</v>
      </c>
      <c r="Z852" s="1" t="s">
        <v>128</v>
      </c>
      <c r="AA852" s="12">
        <v>45559</v>
      </c>
      <c r="AB852" s="1" t="s">
        <v>573</v>
      </c>
      <c r="AC852" s="1" t="s">
        <v>66</v>
      </c>
      <c r="AD852" s="1" t="s">
        <v>574</v>
      </c>
      <c r="AE852" s="1" t="s">
        <v>69</v>
      </c>
      <c r="AG852" s="1">
        <v>11468020</v>
      </c>
    </row>
    <row r="853" spans="3:33" s="1" customFormat="1" x14ac:dyDescent="0.25">
      <c r="C853" s="1" t="s">
        <v>5073</v>
      </c>
      <c r="D853" s="1" t="s">
        <v>5043</v>
      </c>
      <c r="E853" s="1" t="s">
        <v>5074</v>
      </c>
      <c r="F853" s="13" t="s">
        <v>6952</v>
      </c>
      <c r="G853" s="1" t="s">
        <v>2903</v>
      </c>
      <c r="H853" s="1" t="s">
        <v>61</v>
      </c>
      <c r="I853" s="1">
        <v>304</v>
      </c>
      <c r="J853" s="1" t="s">
        <v>46</v>
      </c>
      <c r="M853" s="1" t="s">
        <v>176</v>
      </c>
      <c r="N853" s="1" t="s">
        <v>48</v>
      </c>
      <c r="O853" s="9">
        <v>12</v>
      </c>
      <c r="P853" s="1">
        <f>ROUNDUP(1410*(1-$F$3),2)</f>
        <v>1410</v>
      </c>
      <c r="Q853" s="1" t="s">
        <v>49</v>
      </c>
      <c r="R853" s="1" t="s">
        <v>5075</v>
      </c>
      <c r="S853" s="1" t="s">
        <v>5076</v>
      </c>
      <c r="T853" s="9">
        <v>10</v>
      </c>
      <c r="U853" s="1">
        <f>ROUNDUP(1281.82*(1-$F$3),2)</f>
        <v>1281.82</v>
      </c>
      <c r="V853" s="1">
        <v>476</v>
      </c>
      <c r="Y853" s="1" t="s">
        <v>5077</v>
      </c>
      <c r="Z853" s="1" t="s">
        <v>128</v>
      </c>
      <c r="AA853" s="12">
        <v>45583</v>
      </c>
      <c r="AB853" s="1" t="s">
        <v>573</v>
      </c>
      <c r="AC853" s="1" t="s">
        <v>66</v>
      </c>
      <c r="AD853" s="1" t="s">
        <v>574</v>
      </c>
      <c r="AE853" s="1" t="s">
        <v>69</v>
      </c>
      <c r="AG853" s="1">
        <v>11498710</v>
      </c>
    </row>
    <row r="854" spans="3:33" s="1" customFormat="1" x14ac:dyDescent="0.25">
      <c r="C854" s="1" t="s">
        <v>5078</v>
      </c>
      <c r="D854" s="1" t="s">
        <v>5043</v>
      </c>
      <c r="E854" s="1" t="s">
        <v>5079</v>
      </c>
      <c r="F854" s="13" t="s">
        <v>6952</v>
      </c>
      <c r="G854" s="1" t="s">
        <v>2903</v>
      </c>
      <c r="H854" s="1" t="s">
        <v>61</v>
      </c>
      <c r="I854" s="1">
        <v>286</v>
      </c>
      <c r="J854" s="1" t="s">
        <v>46</v>
      </c>
      <c r="M854" s="1" t="s">
        <v>176</v>
      </c>
      <c r="N854" s="1" t="s">
        <v>48</v>
      </c>
      <c r="O854" s="9">
        <v>10</v>
      </c>
      <c r="P854" s="1">
        <f>ROUNDUP(1050*(1-$F$3),2)</f>
        <v>1050</v>
      </c>
      <c r="Q854" s="1" t="s">
        <v>49</v>
      </c>
      <c r="R854" s="1" t="s">
        <v>5080</v>
      </c>
      <c r="S854" s="1" t="s">
        <v>5081</v>
      </c>
      <c r="T854" s="9">
        <v>10</v>
      </c>
      <c r="U854" s="1">
        <f>ROUNDUP(954.55*(1-$F$3),2)</f>
        <v>954.55</v>
      </c>
      <c r="V854" s="1">
        <v>457</v>
      </c>
      <c r="Y854" s="1" t="s">
        <v>5082</v>
      </c>
      <c r="Z854" s="1" t="s">
        <v>1757</v>
      </c>
      <c r="AA854" s="12">
        <v>45559</v>
      </c>
      <c r="AB854" s="1" t="s">
        <v>573</v>
      </c>
      <c r="AC854" s="1" t="s">
        <v>66</v>
      </c>
      <c r="AD854" s="1" t="s">
        <v>574</v>
      </c>
      <c r="AE854" s="1" t="s">
        <v>69</v>
      </c>
      <c r="AG854" s="1">
        <v>11468030</v>
      </c>
    </row>
    <row r="855" spans="3:33" s="1" customFormat="1" x14ac:dyDescent="0.25">
      <c r="C855" s="1" t="s">
        <v>5083</v>
      </c>
      <c r="D855" s="1" t="s">
        <v>5084</v>
      </c>
      <c r="E855" s="1" t="s">
        <v>5085</v>
      </c>
      <c r="F855" s="13" t="s">
        <v>6952</v>
      </c>
      <c r="G855" s="1" t="s">
        <v>5086</v>
      </c>
      <c r="H855" s="1" t="s">
        <v>61</v>
      </c>
      <c r="I855" s="1">
        <v>480</v>
      </c>
      <c r="J855" s="1" t="s">
        <v>46</v>
      </c>
      <c r="M855" s="1" t="s">
        <v>169</v>
      </c>
      <c r="N855" s="1" t="s">
        <v>48</v>
      </c>
      <c r="O855" s="9">
        <v>6</v>
      </c>
      <c r="P855" s="1">
        <f>ROUNDUP(1390*(1-$F$3),2)</f>
        <v>1390</v>
      </c>
      <c r="Q855" s="1" t="s">
        <v>49</v>
      </c>
      <c r="R855" s="1" t="s">
        <v>5087</v>
      </c>
      <c r="S855" s="1" t="s">
        <v>5088</v>
      </c>
      <c r="T855" s="9">
        <v>10</v>
      </c>
      <c r="U855" s="1">
        <f>ROUNDUP(1263.64*(1-$F$3),2)</f>
        <v>1263.6400000000001</v>
      </c>
      <c r="V855" s="1">
        <v>669</v>
      </c>
      <c r="Y855" s="1" t="s">
        <v>5089</v>
      </c>
      <c r="Z855" s="1" t="s">
        <v>76</v>
      </c>
      <c r="AA855" s="12">
        <v>44507</v>
      </c>
      <c r="AB855" s="1" t="s">
        <v>66</v>
      </c>
      <c r="AC855" s="1" t="s">
        <v>143</v>
      </c>
      <c r="AD855" s="1" t="s">
        <v>144</v>
      </c>
      <c r="AE855" s="1" t="s">
        <v>69</v>
      </c>
      <c r="AG855" s="1">
        <v>9868400</v>
      </c>
    </row>
    <row r="856" spans="3:33" s="1" customFormat="1" x14ac:dyDescent="0.25">
      <c r="C856" s="1" t="s">
        <v>5090</v>
      </c>
      <c r="D856" s="1" t="s">
        <v>5084</v>
      </c>
      <c r="E856" s="1" t="s">
        <v>3224</v>
      </c>
      <c r="F856" s="13" t="s">
        <v>6952</v>
      </c>
      <c r="G856" s="1" t="s">
        <v>44</v>
      </c>
      <c r="H856" s="1" t="s">
        <v>61</v>
      </c>
      <c r="I856" s="1">
        <v>420</v>
      </c>
      <c r="J856" s="1" t="s">
        <v>46</v>
      </c>
      <c r="M856" s="1" t="s">
        <v>47</v>
      </c>
      <c r="N856" s="1" t="s">
        <v>48</v>
      </c>
      <c r="O856" s="9">
        <v>6</v>
      </c>
      <c r="P856" s="1">
        <f>ROUNDUP(1610*(1-$F$3),2)</f>
        <v>1610</v>
      </c>
      <c r="Q856" s="1" t="s">
        <v>49</v>
      </c>
      <c r="R856" s="1" t="s">
        <v>5091</v>
      </c>
      <c r="S856" s="1" t="s">
        <v>5092</v>
      </c>
      <c r="T856" s="9">
        <v>10</v>
      </c>
      <c r="U856" s="1">
        <f>ROUNDUP(1463.64*(1-$F$3),2)</f>
        <v>1463.64</v>
      </c>
      <c r="V856" s="1">
        <v>532</v>
      </c>
      <c r="Y856" s="1" t="s">
        <v>3227</v>
      </c>
      <c r="Z856" s="1" t="s">
        <v>53</v>
      </c>
      <c r="AA856" s="12">
        <v>44967</v>
      </c>
      <c r="AB856" s="1" t="s">
        <v>66</v>
      </c>
      <c r="AC856" s="1" t="s">
        <v>683</v>
      </c>
      <c r="AD856" s="1" t="s">
        <v>684</v>
      </c>
      <c r="AE856" s="1" t="s">
        <v>69</v>
      </c>
      <c r="AG856" s="1">
        <v>10765760</v>
      </c>
    </row>
    <row r="857" spans="3:33" s="1" customFormat="1" x14ac:dyDescent="0.25">
      <c r="C857" s="1" t="s">
        <v>5093</v>
      </c>
      <c r="D857" s="1" t="s">
        <v>5084</v>
      </c>
      <c r="E857" s="1" t="s">
        <v>5094</v>
      </c>
      <c r="F857" s="13" t="s">
        <v>6952</v>
      </c>
      <c r="G857" s="1" t="s">
        <v>5095</v>
      </c>
      <c r="H857" s="1" t="s">
        <v>160</v>
      </c>
      <c r="I857" s="1">
        <v>480</v>
      </c>
      <c r="J857" s="1" t="s">
        <v>46</v>
      </c>
      <c r="M857" s="1" t="s">
        <v>756</v>
      </c>
      <c r="N857" s="1" t="s">
        <v>48</v>
      </c>
      <c r="O857" s="9">
        <v>8</v>
      </c>
      <c r="P857" s="1">
        <f>ROUNDUP(1390*(1-$F$3),2)</f>
        <v>1390</v>
      </c>
      <c r="Q857" s="1" t="s">
        <v>49</v>
      </c>
      <c r="R857" s="1" t="s">
        <v>5096</v>
      </c>
      <c r="S857" s="1" t="s">
        <v>5097</v>
      </c>
      <c r="T857" s="9">
        <v>10</v>
      </c>
      <c r="U857" s="1">
        <f>ROUNDUP(1263.64*(1-$F$3),2)</f>
        <v>1263.6400000000001</v>
      </c>
      <c r="V857" s="1">
        <v>488</v>
      </c>
      <c r="Y857" s="1" t="s">
        <v>5098</v>
      </c>
      <c r="Z857" s="1" t="s">
        <v>53</v>
      </c>
      <c r="AA857" s="12">
        <v>44507</v>
      </c>
      <c r="AB857" s="1" t="s">
        <v>728</v>
      </c>
      <c r="AC857" s="1" t="s">
        <v>729</v>
      </c>
      <c r="AD857" s="1" t="s">
        <v>730</v>
      </c>
      <c r="AE857" s="1" t="s">
        <v>69</v>
      </c>
      <c r="AG857" s="1">
        <v>9862210</v>
      </c>
    </row>
    <row r="858" spans="3:33" s="1" customFormat="1" x14ac:dyDescent="0.25">
      <c r="C858" s="1" t="s">
        <v>5099</v>
      </c>
      <c r="D858" s="1" t="s">
        <v>5100</v>
      </c>
      <c r="E858" s="1" t="s">
        <v>5101</v>
      </c>
      <c r="F858" s="13" t="s">
        <v>6952</v>
      </c>
      <c r="G858" s="1" t="s">
        <v>405</v>
      </c>
      <c r="H858" s="1" t="s">
        <v>61</v>
      </c>
      <c r="I858" s="1">
        <v>432</v>
      </c>
      <c r="J858" s="1" t="s">
        <v>46</v>
      </c>
      <c r="M858" s="1" t="s">
        <v>47</v>
      </c>
      <c r="N858" s="1" t="s">
        <v>48</v>
      </c>
      <c r="O858" s="9">
        <v>8</v>
      </c>
      <c r="P858" s="1">
        <f>ROUNDUP(1210*(1-$F$3),2)</f>
        <v>1210</v>
      </c>
      <c r="Q858" s="1" t="s">
        <v>49</v>
      </c>
      <c r="R858" s="1" t="s">
        <v>5102</v>
      </c>
      <c r="S858" s="1" t="s">
        <v>5103</v>
      </c>
      <c r="T858" s="9">
        <v>10</v>
      </c>
      <c r="U858" s="1">
        <f>ROUNDUP(1100*(1-$F$3),2)</f>
        <v>1100</v>
      </c>
      <c r="V858" s="1">
        <v>513</v>
      </c>
      <c r="Y858" s="1" t="s">
        <v>5104</v>
      </c>
      <c r="Z858" s="1" t="s">
        <v>128</v>
      </c>
      <c r="AA858" s="12">
        <v>45265</v>
      </c>
      <c r="AB858" s="1" t="s">
        <v>445</v>
      </c>
      <c r="AC858" s="1" t="s">
        <v>446</v>
      </c>
      <c r="AD858" s="1" t="s">
        <v>3205</v>
      </c>
      <c r="AE858" s="1" t="s">
        <v>69</v>
      </c>
      <c r="AG858" s="1">
        <v>11163690</v>
      </c>
    </row>
    <row r="859" spans="3:33" s="1" customFormat="1" x14ac:dyDescent="0.25">
      <c r="C859" s="1" t="s">
        <v>5105</v>
      </c>
      <c r="D859" s="1" t="s">
        <v>5106</v>
      </c>
      <c r="E859" s="1" t="s">
        <v>5107</v>
      </c>
      <c r="F859" s="13" t="s">
        <v>6952</v>
      </c>
      <c r="G859" s="1" t="s">
        <v>569</v>
      </c>
      <c r="H859" s="1" t="s">
        <v>61</v>
      </c>
      <c r="I859" s="1">
        <v>416</v>
      </c>
      <c r="J859" s="1" t="s">
        <v>46</v>
      </c>
      <c r="M859" s="1" t="s">
        <v>161</v>
      </c>
      <c r="N859" s="1" t="s">
        <v>48</v>
      </c>
      <c r="O859" s="9">
        <v>8</v>
      </c>
      <c r="P859" s="1">
        <f>ROUNDUP(1340*(1-$F$3),2)</f>
        <v>1340</v>
      </c>
      <c r="Q859" s="1" t="s">
        <v>49</v>
      </c>
      <c r="R859" s="1" t="s">
        <v>5108</v>
      </c>
      <c r="S859" s="1" t="s">
        <v>5109</v>
      </c>
      <c r="T859" s="9">
        <v>10</v>
      </c>
      <c r="U859" s="1">
        <f>ROUNDUP(1218.18*(1-$F$3),2)</f>
        <v>1218.18</v>
      </c>
      <c r="V859" s="1">
        <v>506</v>
      </c>
      <c r="Y859" s="1" t="s">
        <v>5110</v>
      </c>
      <c r="Z859" s="1" t="s">
        <v>53</v>
      </c>
      <c r="AA859" s="12">
        <v>44956</v>
      </c>
      <c r="AB859" s="1" t="s">
        <v>95</v>
      </c>
      <c r="AC859" s="1" t="s">
        <v>112</v>
      </c>
      <c r="AD859" s="1" t="s">
        <v>243</v>
      </c>
      <c r="AE859" s="1" t="s">
        <v>69</v>
      </c>
      <c r="AG859" s="1">
        <v>10765580</v>
      </c>
    </row>
    <row r="860" spans="3:33" s="1" customFormat="1" x14ac:dyDescent="0.25">
      <c r="C860" s="1" t="s">
        <v>5111</v>
      </c>
      <c r="D860" s="1" t="s">
        <v>5106</v>
      </c>
      <c r="E860" s="1" t="s">
        <v>5112</v>
      </c>
      <c r="F860" s="13" t="s">
        <v>6952</v>
      </c>
      <c r="G860" s="1" t="s">
        <v>569</v>
      </c>
      <c r="H860" s="1" t="s">
        <v>61</v>
      </c>
      <c r="I860" s="1">
        <v>256</v>
      </c>
      <c r="J860" s="1" t="s">
        <v>46</v>
      </c>
      <c r="M860" s="1" t="s">
        <v>169</v>
      </c>
      <c r="N860" s="1" t="s">
        <v>48</v>
      </c>
      <c r="O860" s="9">
        <v>14</v>
      </c>
      <c r="P860" s="1">
        <f>ROUNDUP(970*(1-$F$3),2)</f>
        <v>970</v>
      </c>
      <c r="Q860" s="1" t="s">
        <v>49</v>
      </c>
      <c r="R860" s="1" t="s">
        <v>5113</v>
      </c>
      <c r="S860" s="1" t="s">
        <v>5114</v>
      </c>
      <c r="T860" s="9">
        <v>10</v>
      </c>
      <c r="U860" s="1">
        <f>ROUNDUP(881.82*(1-$F$3),2)</f>
        <v>881.82</v>
      </c>
      <c r="V860" s="1">
        <v>339</v>
      </c>
      <c r="Y860" s="1" t="s">
        <v>5115</v>
      </c>
      <c r="Z860" s="1" t="s">
        <v>53</v>
      </c>
      <c r="AA860" s="12">
        <v>44834</v>
      </c>
      <c r="AB860" s="1" t="s">
        <v>95</v>
      </c>
      <c r="AC860" s="1" t="s">
        <v>112</v>
      </c>
      <c r="AD860" s="1" t="s">
        <v>243</v>
      </c>
      <c r="AE860" s="1" t="s">
        <v>878</v>
      </c>
      <c r="AG860" s="1">
        <v>10544240</v>
      </c>
    </row>
    <row r="861" spans="3:33" s="1" customFormat="1" x14ac:dyDescent="0.25">
      <c r="C861" s="1" t="s">
        <v>5116</v>
      </c>
      <c r="D861" s="1" t="s">
        <v>5106</v>
      </c>
      <c r="E861" s="1" t="s">
        <v>5117</v>
      </c>
      <c r="F861" s="13" t="s">
        <v>6952</v>
      </c>
      <c r="G861" s="1" t="s">
        <v>569</v>
      </c>
      <c r="H861" s="1" t="s">
        <v>61</v>
      </c>
      <c r="I861" s="1">
        <v>192</v>
      </c>
      <c r="J861" s="1" t="s">
        <v>46</v>
      </c>
      <c r="M861" s="1" t="s">
        <v>161</v>
      </c>
      <c r="N861" s="1" t="s">
        <v>48</v>
      </c>
      <c r="O861" s="9">
        <v>16</v>
      </c>
      <c r="P861" s="1">
        <f>ROUNDUP(1110*(1-$F$3),2)</f>
        <v>1110</v>
      </c>
      <c r="Q861" s="1" t="s">
        <v>49</v>
      </c>
      <c r="R861" s="1" t="s">
        <v>5118</v>
      </c>
      <c r="S861" s="1" t="s">
        <v>5119</v>
      </c>
      <c r="T861" s="9">
        <v>10</v>
      </c>
      <c r="U861" s="1">
        <f>ROUNDUP(1009.09*(1-$F$3),2)</f>
        <v>1009.09</v>
      </c>
      <c r="V861" s="1">
        <v>342</v>
      </c>
      <c r="Y861" s="1" t="s">
        <v>5120</v>
      </c>
      <c r="Z861" s="1" t="s">
        <v>53</v>
      </c>
      <c r="AA861" s="12">
        <v>44511</v>
      </c>
      <c r="AB861" s="1" t="s">
        <v>95</v>
      </c>
      <c r="AC861" s="1" t="s">
        <v>112</v>
      </c>
      <c r="AD861" s="1" t="s">
        <v>839</v>
      </c>
      <c r="AE861" s="1" t="s">
        <v>878</v>
      </c>
      <c r="AG861" s="1">
        <v>10043460</v>
      </c>
    </row>
    <row r="862" spans="3:33" s="1" customFormat="1" x14ac:dyDescent="0.25">
      <c r="C862" s="1" t="s">
        <v>5121</v>
      </c>
      <c r="D862" s="1" t="s">
        <v>5106</v>
      </c>
      <c r="E862" s="1" t="s">
        <v>5122</v>
      </c>
      <c r="F862" s="13" t="s">
        <v>6952</v>
      </c>
      <c r="G862" s="1" t="s">
        <v>569</v>
      </c>
      <c r="H862" s="1" t="s">
        <v>61</v>
      </c>
      <c r="I862" s="1">
        <v>176</v>
      </c>
      <c r="J862" s="1" t="s">
        <v>46</v>
      </c>
      <c r="M862" s="1" t="s">
        <v>169</v>
      </c>
      <c r="N862" s="1" t="s">
        <v>48</v>
      </c>
      <c r="O862" s="9">
        <v>16</v>
      </c>
      <c r="P862" s="1">
        <f>ROUNDUP(960*(1-$F$3),2)</f>
        <v>960</v>
      </c>
      <c r="Q862" s="1" t="s">
        <v>49</v>
      </c>
      <c r="R862" s="1" t="s">
        <v>5123</v>
      </c>
      <c r="S862" s="1" t="s">
        <v>5124</v>
      </c>
      <c r="T862" s="9">
        <v>10</v>
      </c>
      <c r="U862" s="1">
        <f>ROUNDUP(872.73*(1-$F$3),2)</f>
        <v>872.73</v>
      </c>
      <c r="V862" s="1">
        <v>273</v>
      </c>
      <c r="Y862" s="1" t="s">
        <v>5125</v>
      </c>
      <c r="Z862" s="1" t="s">
        <v>53</v>
      </c>
      <c r="AA862" s="12">
        <v>44511</v>
      </c>
      <c r="AB862" s="1" t="s">
        <v>95</v>
      </c>
      <c r="AC862" s="1" t="s">
        <v>112</v>
      </c>
      <c r="AD862" s="1" t="s">
        <v>839</v>
      </c>
      <c r="AE862" s="1" t="s">
        <v>878</v>
      </c>
      <c r="AG862" s="1">
        <v>10043450</v>
      </c>
    </row>
    <row r="863" spans="3:33" s="1" customFormat="1" x14ac:dyDescent="0.25">
      <c r="C863" s="1" t="s">
        <v>5126</v>
      </c>
      <c r="D863" s="1" t="s">
        <v>5106</v>
      </c>
      <c r="E863" s="1" t="s">
        <v>5127</v>
      </c>
      <c r="F863" s="13" t="s">
        <v>6952</v>
      </c>
      <c r="G863" s="1" t="s">
        <v>569</v>
      </c>
      <c r="H863" s="1" t="s">
        <v>61</v>
      </c>
      <c r="I863" s="1">
        <v>512</v>
      </c>
      <c r="J863" s="1" t="s">
        <v>46</v>
      </c>
      <c r="M863" s="1" t="s">
        <v>176</v>
      </c>
      <c r="N863" s="1" t="s">
        <v>48</v>
      </c>
      <c r="O863" s="9">
        <v>6</v>
      </c>
      <c r="P863" s="1">
        <f>ROUNDUP(1540*(1-$F$3),2)</f>
        <v>1540</v>
      </c>
      <c r="Q863" s="1" t="s">
        <v>49</v>
      </c>
      <c r="R863" s="1" t="s">
        <v>5128</v>
      </c>
      <c r="S863" s="1" t="s">
        <v>5129</v>
      </c>
      <c r="T863" s="9">
        <v>10</v>
      </c>
      <c r="U863" s="1">
        <f>ROUNDUP(1400*(1-$F$3),2)</f>
        <v>1400</v>
      </c>
      <c r="V863" s="1">
        <v>438</v>
      </c>
      <c r="Y863" s="1" t="s">
        <v>5130</v>
      </c>
      <c r="Z863" s="1" t="s">
        <v>53</v>
      </c>
      <c r="AA863" s="12">
        <v>45265</v>
      </c>
      <c r="AB863" s="1" t="s">
        <v>95</v>
      </c>
      <c r="AC863" s="1" t="s">
        <v>112</v>
      </c>
      <c r="AD863" s="1" t="s">
        <v>243</v>
      </c>
      <c r="AE863" s="1" t="s">
        <v>69</v>
      </c>
      <c r="AG863" s="1">
        <v>11159450</v>
      </c>
    </row>
    <row r="864" spans="3:33" s="1" customFormat="1" x14ac:dyDescent="0.25">
      <c r="C864" s="1" t="s">
        <v>5131</v>
      </c>
      <c r="D864" s="1" t="s">
        <v>5132</v>
      </c>
      <c r="E864" s="1" t="s">
        <v>5133</v>
      </c>
      <c r="F864" s="13" t="s">
        <v>6952</v>
      </c>
      <c r="G864" s="1" t="s">
        <v>5134</v>
      </c>
      <c r="H864" s="1" t="s">
        <v>61</v>
      </c>
      <c r="I864" s="1">
        <v>336</v>
      </c>
      <c r="J864" s="1" t="s">
        <v>46</v>
      </c>
      <c r="M864" s="1" t="s">
        <v>62</v>
      </c>
      <c r="N864" s="1" t="s">
        <v>48</v>
      </c>
      <c r="O864" s="9">
        <v>10</v>
      </c>
      <c r="P864" s="1">
        <f>ROUNDUP(1110*(1-$F$3),2)</f>
        <v>1110</v>
      </c>
      <c r="Q864" s="1" t="s">
        <v>49</v>
      </c>
      <c r="R864" s="1" t="s">
        <v>5135</v>
      </c>
      <c r="S864" s="1" t="s">
        <v>5136</v>
      </c>
      <c r="T864" s="9">
        <v>10</v>
      </c>
      <c r="U864" s="1">
        <f>ROUNDUP(1009.09*(1-$F$3),2)</f>
        <v>1009.09</v>
      </c>
      <c r="V864" s="1">
        <v>494</v>
      </c>
      <c r="Y864" s="1" t="s">
        <v>5137</v>
      </c>
      <c r="Z864" s="1" t="s">
        <v>128</v>
      </c>
      <c r="AA864" s="12">
        <v>45987</v>
      </c>
      <c r="AB864" s="1" t="s">
        <v>95</v>
      </c>
      <c r="AC864" s="1" t="s">
        <v>112</v>
      </c>
      <c r="AD864" s="1" t="s">
        <v>243</v>
      </c>
      <c r="AE864" s="1" t="s">
        <v>69</v>
      </c>
      <c r="AG864" s="1">
        <v>11951430</v>
      </c>
    </row>
    <row r="865" spans="1:33" s="1" customFormat="1" x14ac:dyDescent="0.25">
      <c r="C865" s="1" t="s">
        <v>5138</v>
      </c>
      <c r="D865" s="1" t="s">
        <v>5139</v>
      </c>
      <c r="E865" s="1" t="s">
        <v>5140</v>
      </c>
      <c r="F865" s="13" t="s">
        <v>6952</v>
      </c>
      <c r="G865" s="1" t="s">
        <v>569</v>
      </c>
      <c r="H865" s="1" t="s">
        <v>61</v>
      </c>
      <c r="I865" s="1">
        <v>304</v>
      </c>
      <c r="J865" s="1" t="s">
        <v>46</v>
      </c>
      <c r="M865" s="1" t="s">
        <v>161</v>
      </c>
      <c r="N865" s="1" t="s">
        <v>48</v>
      </c>
      <c r="O865" s="9">
        <v>14</v>
      </c>
      <c r="P865" s="1">
        <f>ROUNDUP(1340*(1-$F$3),2)</f>
        <v>1340</v>
      </c>
      <c r="Q865" s="1" t="s">
        <v>49</v>
      </c>
      <c r="R865" s="1" t="s">
        <v>5141</v>
      </c>
      <c r="S865" s="1" t="s">
        <v>5142</v>
      </c>
      <c r="T865" s="9">
        <v>10</v>
      </c>
      <c r="U865" s="1">
        <f>ROUNDUP(1218.18*(1-$F$3),2)</f>
        <v>1218.18</v>
      </c>
      <c r="V865" s="1">
        <v>471</v>
      </c>
      <c r="Y865" s="1" t="s">
        <v>5143</v>
      </c>
      <c r="Z865" s="1" t="s">
        <v>53</v>
      </c>
      <c r="AA865" s="12">
        <v>45046</v>
      </c>
      <c r="AB865" s="1" t="s">
        <v>66</v>
      </c>
      <c r="AC865" s="1" t="s">
        <v>77</v>
      </c>
      <c r="AD865" s="1" t="s">
        <v>78</v>
      </c>
      <c r="AE865" s="1" t="s">
        <v>69</v>
      </c>
      <c r="AG865" s="1">
        <v>10889270</v>
      </c>
    </row>
    <row r="866" spans="1:33" s="1" customFormat="1" x14ac:dyDescent="0.25">
      <c r="C866" s="1" t="s">
        <v>5144</v>
      </c>
      <c r="D866" s="1" t="s">
        <v>5139</v>
      </c>
      <c r="E866" s="1" t="s">
        <v>5145</v>
      </c>
      <c r="F866" s="13" t="s">
        <v>6952</v>
      </c>
      <c r="G866" s="1" t="s">
        <v>569</v>
      </c>
      <c r="H866" s="1" t="s">
        <v>61</v>
      </c>
      <c r="I866" s="1">
        <v>336</v>
      </c>
      <c r="J866" s="1" t="s">
        <v>46</v>
      </c>
      <c r="M866" s="1" t="s">
        <v>169</v>
      </c>
      <c r="N866" s="1" t="s">
        <v>48</v>
      </c>
      <c r="O866" s="9">
        <v>12</v>
      </c>
      <c r="P866" s="1">
        <f>ROUNDUP(1230*(1-$F$3),2)</f>
        <v>1230</v>
      </c>
      <c r="Q866" s="1" t="s">
        <v>49</v>
      </c>
      <c r="R866" s="1" t="s">
        <v>5146</v>
      </c>
      <c r="S866" s="1" t="s">
        <v>5147</v>
      </c>
      <c r="T866" s="9">
        <v>10</v>
      </c>
      <c r="U866" s="1">
        <f>ROUNDUP(1118.18*(1-$F$3),2)</f>
        <v>1118.18</v>
      </c>
      <c r="V866" s="1">
        <v>431</v>
      </c>
      <c r="Y866" s="1" t="s">
        <v>5148</v>
      </c>
      <c r="Z866" s="1" t="s">
        <v>76</v>
      </c>
      <c r="AA866" s="12">
        <v>44471</v>
      </c>
      <c r="AB866" s="1" t="s">
        <v>66</v>
      </c>
      <c r="AC866" s="1" t="s">
        <v>67</v>
      </c>
      <c r="AD866" s="1" t="s">
        <v>165</v>
      </c>
      <c r="AE866" s="1" t="s">
        <v>69</v>
      </c>
      <c r="AG866" s="1">
        <v>9930390</v>
      </c>
    </row>
    <row r="867" spans="1:33" s="1" customFormat="1" x14ac:dyDescent="0.25">
      <c r="C867" s="1" t="s">
        <v>5149</v>
      </c>
      <c r="D867" s="1" t="s">
        <v>5139</v>
      </c>
      <c r="E867" s="1" t="s">
        <v>5150</v>
      </c>
      <c r="F867" s="13" t="s">
        <v>6952</v>
      </c>
      <c r="G867" s="1" t="s">
        <v>569</v>
      </c>
      <c r="H867" s="1" t="s">
        <v>61</v>
      </c>
      <c r="I867" s="1">
        <v>448</v>
      </c>
      <c r="J867" s="1" t="s">
        <v>46</v>
      </c>
      <c r="M867" s="1" t="s">
        <v>47</v>
      </c>
      <c r="N867" s="1" t="s">
        <v>48</v>
      </c>
      <c r="O867" s="9">
        <v>5</v>
      </c>
      <c r="P867" s="1">
        <f>ROUNDUP(1440*(1-$F$3),2)</f>
        <v>1440</v>
      </c>
      <c r="Q867" s="1" t="s">
        <v>49</v>
      </c>
      <c r="R867" s="1" t="s">
        <v>5151</v>
      </c>
      <c r="S867" s="1" t="s">
        <v>5152</v>
      </c>
      <c r="T867" s="9">
        <v>10</v>
      </c>
      <c r="U867" s="1">
        <f>ROUNDUP(1309.09*(1-$F$3),2)</f>
        <v>1309.0899999999999</v>
      </c>
      <c r="V867" s="1">
        <v>573</v>
      </c>
      <c r="Y867" s="1" t="s">
        <v>5139</v>
      </c>
      <c r="Z867" s="1" t="s">
        <v>53</v>
      </c>
      <c r="AA867" s="12">
        <v>45448</v>
      </c>
      <c r="AB867" s="1" t="s">
        <v>66</v>
      </c>
      <c r="AC867" s="1" t="s">
        <v>77</v>
      </c>
      <c r="AD867" s="1" t="s">
        <v>78</v>
      </c>
      <c r="AE867" s="1" t="s">
        <v>69</v>
      </c>
      <c r="AG867" s="1">
        <v>11375230</v>
      </c>
    </row>
    <row r="868" spans="1:33" s="1" customFormat="1" x14ac:dyDescent="0.25">
      <c r="C868" s="1" t="s">
        <v>5153</v>
      </c>
      <c r="D868" s="1" t="s">
        <v>5139</v>
      </c>
      <c r="E868" s="1" t="s">
        <v>5154</v>
      </c>
      <c r="F868" s="13" t="s">
        <v>6952</v>
      </c>
      <c r="G868" s="1" t="s">
        <v>569</v>
      </c>
      <c r="H868" s="1" t="s">
        <v>61</v>
      </c>
      <c r="I868" s="1">
        <v>416</v>
      </c>
      <c r="J868" s="1" t="s">
        <v>46</v>
      </c>
      <c r="M868" s="1" t="s">
        <v>161</v>
      </c>
      <c r="N868" s="1" t="s">
        <v>48</v>
      </c>
      <c r="O868" s="9">
        <v>10</v>
      </c>
      <c r="P868" s="1">
        <f>ROUNDUP(1400*(1-$F$3),2)</f>
        <v>1400</v>
      </c>
      <c r="Q868" s="1" t="s">
        <v>49</v>
      </c>
      <c r="R868" s="1" t="s">
        <v>5155</v>
      </c>
      <c r="S868" s="1" t="s">
        <v>5156</v>
      </c>
      <c r="T868" s="9">
        <v>10</v>
      </c>
      <c r="U868" s="1">
        <f>ROUNDUP(1272.73*(1-$F$3),2)</f>
        <v>1272.73</v>
      </c>
      <c r="V868" s="1">
        <v>605</v>
      </c>
      <c r="Y868" s="1" t="s">
        <v>5157</v>
      </c>
      <c r="Z868" s="1" t="s">
        <v>53</v>
      </c>
      <c r="AA868" s="12">
        <v>44707</v>
      </c>
      <c r="AB868" s="1" t="s">
        <v>66</v>
      </c>
      <c r="AC868" s="1" t="s">
        <v>77</v>
      </c>
      <c r="AD868" s="1" t="s">
        <v>78</v>
      </c>
      <c r="AE868" s="1" t="s">
        <v>69</v>
      </c>
      <c r="AG868" s="1">
        <v>10410890</v>
      </c>
    </row>
    <row r="869" spans="1:33" s="1" customFormat="1" x14ac:dyDescent="0.25">
      <c r="C869" s="1" t="s">
        <v>5158</v>
      </c>
      <c r="D869" s="1" t="s">
        <v>5139</v>
      </c>
      <c r="E869" s="1" t="s">
        <v>5159</v>
      </c>
      <c r="F869" s="13" t="s">
        <v>6952</v>
      </c>
      <c r="G869" s="1" t="s">
        <v>569</v>
      </c>
      <c r="H869" s="1" t="s">
        <v>61</v>
      </c>
      <c r="I869" s="1">
        <v>400</v>
      </c>
      <c r="J869" s="1" t="s">
        <v>46</v>
      </c>
      <c r="M869" s="1" t="s">
        <v>169</v>
      </c>
      <c r="N869" s="1" t="s">
        <v>48</v>
      </c>
      <c r="O869" s="9">
        <v>10</v>
      </c>
      <c r="P869" s="1">
        <f>ROUNDUP(1340*(1-$F$3),2)</f>
        <v>1340</v>
      </c>
      <c r="Q869" s="1" t="s">
        <v>49</v>
      </c>
      <c r="R869" s="1" t="s">
        <v>5160</v>
      </c>
      <c r="S869" s="1" t="s">
        <v>5161</v>
      </c>
      <c r="T869" s="9">
        <v>10</v>
      </c>
      <c r="U869" s="1">
        <f>ROUNDUP(1218.18*(1-$F$3),2)</f>
        <v>1218.18</v>
      </c>
      <c r="V869" s="1">
        <v>585</v>
      </c>
      <c r="Y869" s="1" t="s">
        <v>5162</v>
      </c>
      <c r="Z869" s="1" t="s">
        <v>53</v>
      </c>
      <c r="AA869" s="12">
        <v>44822</v>
      </c>
      <c r="AB869" s="1" t="s">
        <v>66</v>
      </c>
      <c r="AC869" s="1" t="s">
        <v>77</v>
      </c>
      <c r="AD869" s="1" t="s">
        <v>78</v>
      </c>
      <c r="AE869" s="1" t="s">
        <v>69</v>
      </c>
      <c r="AG869" s="1">
        <v>10560550</v>
      </c>
    </row>
    <row r="870" spans="1:33" s="1" customFormat="1" x14ac:dyDescent="0.25">
      <c r="C870" s="1" t="s">
        <v>5163</v>
      </c>
      <c r="D870" s="1" t="s">
        <v>5164</v>
      </c>
      <c r="E870" s="1" t="s">
        <v>5165</v>
      </c>
      <c r="F870" s="13" t="s">
        <v>6952</v>
      </c>
      <c r="G870" s="1" t="s">
        <v>5166</v>
      </c>
      <c r="H870" s="1" t="s">
        <v>61</v>
      </c>
      <c r="I870" s="1">
        <v>304</v>
      </c>
      <c r="J870" s="1" t="s">
        <v>46</v>
      </c>
      <c r="M870" s="1" t="s">
        <v>62</v>
      </c>
      <c r="N870" s="1" t="s">
        <v>48</v>
      </c>
      <c r="O870" s="9">
        <v>8</v>
      </c>
      <c r="P870" s="1">
        <f>ROUNDUP(1110*(1-$F$3),2)</f>
        <v>1110</v>
      </c>
      <c r="Q870" s="1" t="s">
        <v>49</v>
      </c>
      <c r="R870" s="1" t="s">
        <v>5167</v>
      </c>
      <c r="S870" s="1" t="s">
        <v>5168</v>
      </c>
      <c r="T870" s="9">
        <v>10</v>
      </c>
      <c r="U870" s="1">
        <f>ROUNDUP(1009.09*(1-$F$3),2)</f>
        <v>1009.09</v>
      </c>
      <c r="V870" s="1">
        <v>459</v>
      </c>
      <c r="Y870" s="1" t="s">
        <v>5169</v>
      </c>
      <c r="Z870" s="1" t="s">
        <v>53</v>
      </c>
      <c r="AA870" s="12">
        <v>45987</v>
      </c>
      <c r="AB870" s="1" t="s">
        <v>66</v>
      </c>
      <c r="AC870" s="1" t="s">
        <v>77</v>
      </c>
      <c r="AD870" s="1" t="s">
        <v>78</v>
      </c>
      <c r="AE870" s="1" t="s">
        <v>69</v>
      </c>
      <c r="AG870" s="1">
        <v>11951450</v>
      </c>
    </row>
    <row r="871" spans="1:33" s="1" customFormat="1" x14ac:dyDescent="0.25">
      <c r="C871" s="1" t="s">
        <v>5170</v>
      </c>
      <c r="D871" s="1" t="s">
        <v>5171</v>
      </c>
      <c r="E871" s="1" t="s">
        <v>5172</v>
      </c>
      <c r="F871" s="13" t="s">
        <v>6952</v>
      </c>
      <c r="G871" s="1" t="s">
        <v>5173</v>
      </c>
      <c r="H871" s="1" t="s">
        <v>160</v>
      </c>
      <c r="I871" s="1">
        <v>502</v>
      </c>
      <c r="J871" s="1" t="s">
        <v>46</v>
      </c>
      <c r="M871" s="1" t="s">
        <v>987</v>
      </c>
      <c r="N871" s="1" t="s">
        <v>48</v>
      </c>
      <c r="O871" s="9">
        <v>8</v>
      </c>
      <c r="P871" s="1">
        <f>ROUNDUP(960*(1-$F$3),2)</f>
        <v>960</v>
      </c>
      <c r="Q871" s="1" t="s">
        <v>49</v>
      </c>
      <c r="R871" s="1" t="s">
        <v>5174</v>
      </c>
      <c r="S871" s="1" t="s">
        <v>5175</v>
      </c>
      <c r="T871" s="9">
        <v>10</v>
      </c>
      <c r="U871" s="1">
        <f>ROUNDUP(872.73*(1-$F$3),2)</f>
        <v>872.73</v>
      </c>
      <c r="V871" s="1">
        <v>531</v>
      </c>
      <c r="Y871" s="1" t="s">
        <v>5176</v>
      </c>
      <c r="Z871" s="1" t="s">
        <v>53</v>
      </c>
      <c r="AA871" s="12">
        <v>42794</v>
      </c>
      <c r="AB871" s="1" t="s">
        <v>66</v>
      </c>
      <c r="AC871" s="1" t="s">
        <v>77</v>
      </c>
      <c r="AD871" s="1" t="s">
        <v>78</v>
      </c>
      <c r="AE871" s="1" t="s">
        <v>49</v>
      </c>
      <c r="AG871" s="1">
        <v>8018250</v>
      </c>
    </row>
    <row r="872" spans="1:33" s="1" customFormat="1" x14ac:dyDescent="0.25">
      <c r="C872" s="1" t="s">
        <v>5177</v>
      </c>
      <c r="D872" s="1" t="s">
        <v>5178</v>
      </c>
      <c r="E872" s="1" t="s">
        <v>5179</v>
      </c>
      <c r="F872" s="13" t="s">
        <v>6952</v>
      </c>
      <c r="G872" s="1" t="s">
        <v>3526</v>
      </c>
      <c r="H872" s="1" t="s">
        <v>61</v>
      </c>
      <c r="I872" s="1">
        <v>304</v>
      </c>
      <c r="J872" s="1" t="s">
        <v>46</v>
      </c>
      <c r="M872" s="1" t="s">
        <v>161</v>
      </c>
      <c r="N872" s="1" t="s">
        <v>48</v>
      </c>
      <c r="O872" s="9">
        <v>10</v>
      </c>
      <c r="P872" s="1">
        <f>ROUNDUP(1020*(1-$F$3),2)</f>
        <v>1020</v>
      </c>
      <c r="Q872" s="1" t="s">
        <v>49</v>
      </c>
      <c r="R872" s="1" t="s">
        <v>5180</v>
      </c>
      <c r="S872" s="1" t="s">
        <v>5181</v>
      </c>
      <c r="T872" s="9">
        <v>10</v>
      </c>
      <c r="U872" s="1">
        <f>ROUNDUP(927.27*(1-$F$3),2)</f>
        <v>927.27</v>
      </c>
      <c r="V872" s="1">
        <v>401</v>
      </c>
      <c r="Y872" s="1" t="s">
        <v>5182</v>
      </c>
      <c r="Z872" s="1" t="s">
        <v>53</v>
      </c>
      <c r="AA872" s="12">
        <v>45167</v>
      </c>
      <c r="AB872" s="1" t="s">
        <v>95</v>
      </c>
      <c r="AC872" s="1" t="s">
        <v>112</v>
      </c>
      <c r="AD872" s="1" t="s">
        <v>839</v>
      </c>
      <c r="AE872" s="1" t="s">
        <v>69</v>
      </c>
      <c r="AG872" s="1">
        <v>11027340</v>
      </c>
    </row>
    <row r="873" spans="1:33" s="1" customFormat="1" x14ac:dyDescent="0.25">
      <c r="C873" s="1" t="s">
        <v>5183</v>
      </c>
      <c r="D873" s="1" t="s">
        <v>5178</v>
      </c>
      <c r="E873" s="1" t="s">
        <v>5184</v>
      </c>
      <c r="F873" s="13" t="s">
        <v>6952</v>
      </c>
      <c r="G873" s="1" t="s">
        <v>3526</v>
      </c>
      <c r="H873" s="1" t="s">
        <v>61</v>
      </c>
      <c r="I873" s="1">
        <v>240</v>
      </c>
      <c r="J873" s="1" t="s">
        <v>46</v>
      </c>
      <c r="M873" s="1" t="s">
        <v>161</v>
      </c>
      <c r="N873" s="1" t="s">
        <v>48</v>
      </c>
      <c r="O873" s="9">
        <v>12</v>
      </c>
      <c r="P873" s="1">
        <f>ROUNDUP(970*(1-$F$3),2)</f>
        <v>970</v>
      </c>
      <c r="Q873" s="1" t="s">
        <v>49</v>
      </c>
      <c r="R873" s="1" t="s">
        <v>5185</v>
      </c>
      <c r="S873" s="1" t="s">
        <v>5186</v>
      </c>
      <c r="T873" s="9">
        <v>10</v>
      </c>
      <c r="U873" s="1">
        <f>ROUNDUP(881.82*(1-$F$3),2)</f>
        <v>881.82</v>
      </c>
      <c r="V873" s="1">
        <v>337</v>
      </c>
      <c r="Y873" s="1" t="s">
        <v>5187</v>
      </c>
      <c r="Z873" s="1" t="s">
        <v>53</v>
      </c>
      <c r="AA873" s="12">
        <v>45195</v>
      </c>
      <c r="AB873" s="1" t="s">
        <v>219</v>
      </c>
      <c r="AC873" s="1" t="s">
        <v>220</v>
      </c>
      <c r="AD873" s="1" t="s">
        <v>4221</v>
      </c>
      <c r="AE873" s="1" t="s">
        <v>69</v>
      </c>
      <c r="AG873" s="1">
        <v>11071020</v>
      </c>
    </row>
    <row r="874" spans="1:33" s="1" customFormat="1" x14ac:dyDescent="0.25">
      <c r="C874" s="1" t="s">
        <v>5188</v>
      </c>
      <c r="D874" s="1" t="s">
        <v>5178</v>
      </c>
      <c r="E874" s="1" t="s">
        <v>5189</v>
      </c>
      <c r="F874" s="13" t="s">
        <v>6952</v>
      </c>
      <c r="G874" s="1" t="s">
        <v>3526</v>
      </c>
      <c r="H874" s="1" t="s">
        <v>61</v>
      </c>
      <c r="I874" s="1">
        <v>176</v>
      </c>
      <c r="J874" s="1" t="s">
        <v>46</v>
      </c>
      <c r="M874" s="1" t="s">
        <v>161</v>
      </c>
      <c r="N874" s="1" t="s">
        <v>48</v>
      </c>
      <c r="O874" s="9">
        <v>16</v>
      </c>
      <c r="P874" s="1">
        <f>ROUNDUP(920*(1-$F$3),2)</f>
        <v>920</v>
      </c>
      <c r="Q874" s="1" t="s">
        <v>49</v>
      </c>
      <c r="R874" s="1" t="s">
        <v>5190</v>
      </c>
      <c r="S874" s="1" t="s">
        <v>5191</v>
      </c>
      <c r="T874" s="9">
        <v>10</v>
      </c>
      <c r="U874" s="1">
        <f>ROUNDUP(836.36*(1-$F$3),2)</f>
        <v>836.36</v>
      </c>
      <c r="V874" s="1">
        <v>331</v>
      </c>
      <c r="Y874" s="1" t="s">
        <v>5192</v>
      </c>
      <c r="Z874" s="1" t="s">
        <v>53</v>
      </c>
      <c r="AA874" s="12">
        <v>44945</v>
      </c>
      <c r="AB874" s="1" t="s">
        <v>95</v>
      </c>
      <c r="AC874" s="1" t="s">
        <v>112</v>
      </c>
      <c r="AD874" s="1" t="s">
        <v>839</v>
      </c>
      <c r="AE874" s="1" t="s">
        <v>69</v>
      </c>
      <c r="AG874" s="1">
        <v>10747780</v>
      </c>
    </row>
    <row r="875" spans="1:33" s="1" customFormat="1" x14ac:dyDescent="0.25">
      <c r="C875" s="1" t="s">
        <v>5193</v>
      </c>
      <c r="D875" s="1" t="s">
        <v>5178</v>
      </c>
      <c r="E875" s="1" t="s">
        <v>5194</v>
      </c>
      <c r="F875" s="13" t="s">
        <v>6952</v>
      </c>
      <c r="G875" s="1" t="s">
        <v>3526</v>
      </c>
      <c r="H875" s="1" t="s">
        <v>61</v>
      </c>
      <c r="I875" s="1">
        <v>304</v>
      </c>
      <c r="J875" s="1" t="s">
        <v>46</v>
      </c>
      <c r="M875" s="1" t="s">
        <v>161</v>
      </c>
      <c r="N875" s="1" t="s">
        <v>48</v>
      </c>
      <c r="O875" s="9">
        <v>12</v>
      </c>
      <c r="P875" s="1">
        <f>ROUNDUP(1120*(1-$F$3),2)</f>
        <v>1120</v>
      </c>
      <c r="Q875" s="1" t="s">
        <v>49</v>
      </c>
      <c r="R875" s="1" t="s">
        <v>5195</v>
      </c>
      <c r="S875" s="1" t="s">
        <v>5196</v>
      </c>
      <c r="T875" s="9">
        <v>10</v>
      </c>
      <c r="U875" s="1">
        <f>ROUNDUP(1018.18*(1-$F$3),2)</f>
        <v>1018.18</v>
      </c>
      <c r="V875" s="1">
        <v>416</v>
      </c>
      <c r="Y875" s="1" t="s">
        <v>5197</v>
      </c>
      <c r="Z875" s="1" t="s">
        <v>53</v>
      </c>
      <c r="AA875" s="12">
        <v>44917</v>
      </c>
      <c r="AB875" s="1" t="s">
        <v>95</v>
      </c>
      <c r="AC875" s="1" t="s">
        <v>112</v>
      </c>
      <c r="AD875" s="1" t="s">
        <v>839</v>
      </c>
      <c r="AE875" s="1" t="s">
        <v>69</v>
      </c>
      <c r="AG875" s="1">
        <v>10747770</v>
      </c>
    </row>
    <row r="876" spans="1:33" s="1" customFormat="1" x14ac:dyDescent="0.25">
      <c r="C876" s="1" t="s">
        <v>5198</v>
      </c>
      <c r="D876" s="1" t="s">
        <v>5178</v>
      </c>
      <c r="E876" s="1" t="s">
        <v>5199</v>
      </c>
      <c r="F876" s="13" t="s">
        <v>6952</v>
      </c>
      <c r="G876" s="1" t="s">
        <v>3526</v>
      </c>
      <c r="H876" s="1" t="s">
        <v>61</v>
      </c>
      <c r="I876" s="1">
        <v>176</v>
      </c>
      <c r="J876" s="1" t="s">
        <v>46</v>
      </c>
      <c r="M876" s="1" t="s">
        <v>161</v>
      </c>
      <c r="N876" s="1" t="s">
        <v>48</v>
      </c>
      <c r="O876" s="9">
        <v>14</v>
      </c>
      <c r="P876" s="1">
        <f>ROUNDUP(820*(1-$F$3),2)</f>
        <v>820</v>
      </c>
      <c r="Q876" s="1" t="s">
        <v>49</v>
      </c>
      <c r="R876" s="1" t="s">
        <v>5200</v>
      </c>
      <c r="S876" s="1" t="s">
        <v>5201</v>
      </c>
      <c r="T876" s="9">
        <v>10</v>
      </c>
      <c r="U876" s="1">
        <f>ROUNDUP(745.45*(1-$F$3),2)</f>
        <v>745.45</v>
      </c>
      <c r="V876" s="1">
        <v>279</v>
      </c>
      <c r="Y876" s="1" t="s">
        <v>5202</v>
      </c>
      <c r="Z876" s="1" t="s">
        <v>53</v>
      </c>
      <c r="AA876" s="12">
        <v>45167</v>
      </c>
      <c r="AB876" s="1" t="s">
        <v>95</v>
      </c>
      <c r="AC876" s="1" t="s">
        <v>112</v>
      </c>
      <c r="AD876" s="1" t="s">
        <v>839</v>
      </c>
      <c r="AE876" s="1" t="s">
        <v>69</v>
      </c>
      <c r="AG876" s="1">
        <v>11027360</v>
      </c>
    </row>
    <row r="877" spans="1:33" s="1" customFormat="1" x14ac:dyDescent="0.25">
      <c r="C877" s="1" t="s">
        <v>5203</v>
      </c>
      <c r="D877" s="1" t="s">
        <v>5178</v>
      </c>
      <c r="E877" s="1" t="s">
        <v>5204</v>
      </c>
      <c r="F877" s="13" t="s">
        <v>6952</v>
      </c>
      <c r="G877" s="1" t="s">
        <v>3526</v>
      </c>
      <c r="H877" s="1" t="s">
        <v>61</v>
      </c>
      <c r="I877" s="1">
        <v>560</v>
      </c>
      <c r="J877" s="1" t="s">
        <v>46</v>
      </c>
      <c r="M877" s="1" t="s">
        <v>176</v>
      </c>
      <c r="N877" s="1" t="s">
        <v>48</v>
      </c>
      <c r="O877" s="9">
        <v>8</v>
      </c>
      <c r="P877" s="1">
        <f>ROUNDUP(1930*(1-$F$3),2)</f>
        <v>1930</v>
      </c>
      <c r="Q877" s="1" t="s">
        <v>49</v>
      </c>
      <c r="R877" s="1" t="s">
        <v>5205</v>
      </c>
      <c r="S877" s="1" t="s">
        <v>5206</v>
      </c>
      <c r="T877" s="9">
        <v>10</v>
      </c>
      <c r="U877" s="1">
        <f>ROUNDUP(1754.55*(1-$F$3),2)</f>
        <v>1754.55</v>
      </c>
      <c r="V877" s="1">
        <v>647</v>
      </c>
      <c r="Y877" s="1" t="s">
        <v>5207</v>
      </c>
      <c r="Z877" s="1" t="s">
        <v>53</v>
      </c>
      <c r="AA877" s="12">
        <v>45568</v>
      </c>
      <c r="AB877" s="1" t="s">
        <v>95</v>
      </c>
      <c r="AC877" s="1" t="s">
        <v>112</v>
      </c>
      <c r="AD877" s="1" t="s">
        <v>243</v>
      </c>
      <c r="AE877" s="1" t="s">
        <v>69</v>
      </c>
      <c r="AG877" s="1">
        <v>11488510</v>
      </c>
    </row>
    <row r="878" spans="1:33" s="11" customFormat="1" x14ac:dyDescent="0.25">
      <c r="A878" s="11" t="s">
        <v>6953</v>
      </c>
      <c r="C878" s="11" t="s">
        <v>5208</v>
      </c>
      <c r="D878" s="11" t="s">
        <v>5178</v>
      </c>
      <c r="E878" s="11" t="s">
        <v>5209</v>
      </c>
      <c r="F878" s="14" t="s">
        <v>6952</v>
      </c>
      <c r="G878" s="11" t="s">
        <v>3526</v>
      </c>
      <c r="H878" s="11" t="s">
        <v>61</v>
      </c>
      <c r="I878" s="11">
        <v>288</v>
      </c>
      <c r="J878" s="11" t="s">
        <v>46</v>
      </c>
      <c r="M878" s="11" t="s">
        <v>62</v>
      </c>
      <c r="N878" s="11" t="s">
        <v>48</v>
      </c>
      <c r="O878" s="23">
        <v>5</v>
      </c>
      <c r="P878" s="11">
        <f>ROUNDUP(980*(1-$F$3),2)</f>
        <v>980</v>
      </c>
      <c r="Q878" s="11" t="s">
        <v>49</v>
      </c>
      <c r="R878" s="11" t="s">
        <v>5210</v>
      </c>
      <c r="S878" s="11" t="s">
        <v>5211</v>
      </c>
      <c r="T878" s="23">
        <v>10</v>
      </c>
      <c r="U878" s="11">
        <f>ROUNDUP(890.91*(1-$F$3),2)</f>
        <v>890.91</v>
      </c>
      <c r="V878" s="11">
        <v>392</v>
      </c>
      <c r="Y878" s="11" t="s">
        <v>5212</v>
      </c>
      <c r="Z878" s="11" t="s">
        <v>53</v>
      </c>
      <c r="AA878" s="15">
        <v>45533</v>
      </c>
      <c r="AB878" s="11" t="s">
        <v>95</v>
      </c>
      <c r="AC878" s="11" t="s">
        <v>112</v>
      </c>
      <c r="AD878" s="11" t="s">
        <v>243</v>
      </c>
      <c r="AE878" s="11" t="s">
        <v>69</v>
      </c>
      <c r="AG878" s="11">
        <v>11422470</v>
      </c>
    </row>
    <row r="879" spans="1:33" s="1" customFormat="1" x14ac:dyDescent="0.25">
      <c r="C879" s="1" t="s">
        <v>5213</v>
      </c>
      <c r="D879" s="1" t="s">
        <v>5214</v>
      </c>
      <c r="E879" s="1" t="s">
        <v>5215</v>
      </c>
      <c r="F879" s="13" t="s">
        <v>6952</v>
      </c>
      <c r="G879" s="1" t="s">
        <v>5216</v>
      </c>
      <c r="H879" s="1" t="s">
        <v>61</v>
      </c>
      <c r="I879" s="1">
        <v>400</v>
      </c>
      <c r="J879" s="1" t="s">
        <v>46</v>
      </c>
      <c r="M879" s="1" t="s">
        <v>47</v>
      </c>
      <c r="N879" s="1" t="s">
        <v>48</v>
      </c>
      <c r="O879" s="9">
        <v>6</v>
      </c>
      <c r="P879" s="1">
        <f>ROUNDUP(1140*(1-$F$3),2)</f>
        <v>1140</v>
      </c>
      <c r="Q879" s="1" t="s">
        <v>49</v>
      </c>
      <c r="R879" s="1" t="s">
        <v>5217</v>
      </c>
      <c r="S879" s="1" t="s">
        <v>5218</v>
      </c>
      <c r="T879" s="9">
        <v>10</v>
      </c>
      <c r="U879" s="1">
        <f>ROUNDUP(1036.36*(1-$F$3),2)</f>
        <v>1036.3599999999999</v>
      </c>
      <c r="V879" s="1">
        <v>428</v>
      </c>
      <c r="Y879" s="1" t="s">
        <v>5219</v>
      </c>
      <c r="Z879" s="1" t="s">
        <v>128</v>
      </c>
      <c r="AA879" s="12">
        <v>45636</v>
      </c>
      <c r="AB879" s="1" t="s">
        <v>573</v>
      </c>
      <c r="AC879" s="1" t="s">
        <v>2559</v>
      </c>
      <c r="AD879" s="1" t="s">
        <v>2560</v>
      </c>
      <c r="AE879" s="1" t="s">
        <v>69</v>
      </c>
      <c r="AG879" s="1">
        <v>11532190</v>
      </c>
    </row>
    <row r="880" spans="1:33" s="1" customFormat="1" x14ac:dyDescent="0.25">
      <c r="C880" s="1" t="s">
        <v>5220</v>
      </c>
      <c r="D880" s="1" t="s">
        <v>5214</v>
      </c>
      <c r="E880" s="1" t="s">
        <v>5221</v>
      </c>
      <c r="F880" s="13" t="s">
        <v>6952</v>
      </c>
      <c r="G880" s="1" t="s">
        <v>5222</v>
      </c>
      <c r="H880" s="1" t="s">
        <v>61</v>
      </c>
      <c r="I880" s="1">
        <v>224</v>
      </c>
      <c r="J880" s="1" t="s">
        <v>46</v>
      </c>
      <c r="M880" s="1" t="s">
        <v>176</v>
      </c>
      <c r="N880" s="1" t="s">
        <v>48</v>
      </c>
      <c r="O880" s="9">
        <v>10</v>
      </c>
      <c r="P880" s="1">
        <f>ROUNDUP(980*(1-$F$3),2)</f>
        <v>980</v>
      </c>
      <c r="Q880" s="1" t="s">
        <v>49</v>
      </c>
      <c r="R880" s="1" t="s">
        <v>5223</v>
      </c>
      <c r="S880" s="1" t="s">
        <v>5224</v>
      </c>
      <c r="T880" s="9">
        <v>10</v>
      </c>
      <c r="U880" s="1">
        <f>ROUNDUP(890.91*(1-$F$3),2)</f>
        <v>890.91</v>
      </c>
      <c r="V880" s="1">
        <v>291</v>
      </c>
      <c r="Y880" s="1" t="s">
        <v>5225</v>
      </c>
      <c r="Z880" s="1" t="s">
        <v>128</v>
      </c>
      <c r="AA880" s="12">
        <v>45585</v>
      </c>
      <c r="AB880" s="1" t="s">
        <v>219</v>
      </c>
      <c r="AC880" s="1" t="s">
        <v>5226</v>
      </c>
      <c r="AD880" s="1" t="s">
        <v>5227</v>
      </c>
      <c r="AE880" s="1" t="s">
        <v>69</v>
      </c>
      <c r="AG880" s="1">
        <v>11485560</v>
      </c>
    </row>
    <row r="881" spans="3:33" s="1" customFormat="1" x14ac:dyDescent="0.25">
      <c r="C881" s="1" t="s">
        <v>5228</v>
      </c>
      <c r="D881" s="1" t="s">
        <v>5229</v>
      </c>
      <c r="E881" s="1" t="s">
        <v>5230</v>
      </c>
      <c r="F881" s="13" t="s">
        <v>6952</v>
      </c>
      <c r="G881" s="1" t="s">
        <v>5231</v>
      </c>
      <c r="H881" s="1" t="s">
        <v>82</v>
      </c>
      <c r="I881" s="1">
        <v>152</v>
      </c>
      <c r="J881" s="1" t="s">
        <v>46</v>
      </c>
      <c r="K881" s="1" t="s">
        <v>1566</v>
      </c>
      <c r="M881" s="1" t="s">
        <v>2310</v>
      </c>
      <c r="N881" s="1" t="s">
        <v>48</v>
      </c>
      <c r="O881" s="9"/>
      <c r="P881" s="1">
        <f>ROUNDUP(1462.5*(1-$F$3),2)</f>
        <v>1462.5</v>
      </c>
      <c r="Q881" s="1" t="s">
        <v>49</v>
      </c>
      <c r="R881" s="1" t="s">
        <v>5232</v>
      </c>
      <c r="S881" s="1" t="s">
        <v>5233</v>
      </c>
      <c r="T881" s="9">
        <v>10</v>
      </c>
      <c r="U881" s="1">
        <f>ROUNDUP(1329.55*(1-$F$3),2)</f>
        <v>1329.55</v>
      </c>
      <c r="V881" s="1">
        <v>756</v>
      </c>
      <c r="Y881" s="1" t="s">
        <v>5234</v>
      </c>
      <c r="Z881" s="1" t="s">
        <v>1757</v>
      </c>
      <c r="AA881" s="12">
        <v>43383</v>
      </c>
      <c r="AB881" s="1" t="s">
        <v>573</v>
      </c>
      <c r="AC881" s="1" t="s">
        <v>66</v>
      </c>
      <c r="AD881" s="1" t="s">
        <v>712</v>
      </c>
      <c r="AE881" s="1" t="s">
        <v>49</v>
      </c>
      <c r="AG881" s="1">
        <v>8808400</v>
      </c>
    </row>
    <row r="882" spans="3:33" s="1" customFormat="1" x14ac:dyDescent="0.25">
      <c r="C882" s="1" t="s">
        <v>5235</v>
      </c>
      <c r="D882" s="1" t="s">
        <v>5236</v>
      </c>
      <c r="E882" s="1" t="s">
        <v>5237</v>
      </c>
      <c r="F882" s="13" t="s">
        <v>6952</v>
      </c>
      <c r="G882" s="1" t="s">
        <v>1435</v>
      </c>
      <c r="H882" s="1" t="s">
        <v>61</v>
      </c>
      <c r="I882" s="1">
        <v>272</v>
      </c>
      <c r="J882" s="1" t="s">
        <v>46</v>
      </c>
      <c r="M882" s="1" t="s">
        <v>62</v>
      </c>
      <c r="N882" s="1" t="s">
        <v>48</v>
      </c>
      <c r="O882" s="9">
        <v>10</v>
      </c>
      <c r="P882" s="1">
        <f>ROUNDUP(910*(1-$F$3),2)</f>
        <v>910</v>
      </c>
      <c r="Q882" s="1" t="s">
        <v>49</v>
      </c>
      <c r="R882" s="1" t="s">
        <v>5238</v>
      </c>
      <c r="S882" s="1" t="s">
        <v>5239</v>
      </c>
      <c r="T882" s="9">
        <v>10</v>
      </c>
      <c r="U882" s="1">
        <f>ROUNDUP(827.27*(1-$F$3),2)</f>
        <v>827.27</v>
      </c>
      <c r="V882" s="1">
        <v>415</v>
      </c>
      <c r="Y882" s="1" t="s">
        <v>5240</v>
      </c>
      <c r="Z882" s="1" t="s">
        <v>53</v>
      </c>
      <c r="AA882" s="12">
        <v>45938</v>
      </c>
      <c r="AB882" s="1" t="s">
        <v>66</v>
      </c>
      <c r="AC882" s="1" t="s">
        <v>143</v>
      </c>
      <c r="AD882" s="1" t="s">
        <v>144</v>
      </c>
      <c r="AE882" s="1" t="s">
        <v>69</v>
      </c>
      <c r="AG882" s="1">
        <v>11897850</v>
      </c>
    </row>
    <row r="883" spans="3:33" s="1" customFormat="1" x14ac:dyDescent="0.25">
      <c r="C883" s="1" t="s">
        <v>5241</v>
      </c>
      <c r="D883" s="1" t="s">
        <v>5236</v>
      </c>
      <c r="E883" s="1" t="s">
        <v>5242</v>
      </c>
      <c r="F883" s="13" t="s">
        <v>6952</v>
      </c>
      <c r="G883" s="1" t="s">
        <v>1435</v>
      </c>
      <c r="H883" s="1" t="s">
        <v>61</v>
      </c>
      <c r="I883" s="1">
        <v>560</v>
      </c>
      <c r="J883" s="1" t="s">
        <v>46</v>
      </c>
      <c r="M883" s="1" t="s">
        <v>62</v>
      </c>
      <c r="N883" s="1" t="s">
        <v>48</v>
      </c>
      <c r="O883" s="9">
        <v>6</v>
      </c>
      <c r="P883" s="1">
        <f>ROUNDUP(1260*(1-$F$3),2)</f>
        <v>1260</v>
      </c>
      <c r="Q883" s="1" t="s">
        <v>49</v>
      </c>
      <c r="R883" s="1" t="s">
        <v>5243</v>
      </c>
      <c r="S883" s="1" t="s">
        <v>5244</v>
      </c>
      <c r="T883" s="9">
        <v>10</v>
      </c>
      <c r="U883" s="1">
        <f>ROUNDUP(1145.45*(1-$F$3),2)</f>
        <v>1145.45</v>
      </c>
      <c r="V883" s="1">
        <v>593</v>
      </c>
      <c r="Y883" s="1" t="s">
        <v>5245</v>
      </c>
      <c r="Z883" s="1" t="s">
        <v>53</v>
      </c>
      <c r="AA883" s="12">
        <v>45998</v>
      </c>
      <c r="AB883" s="1" t="s">
        <v>66</v>
      </c>
      <c r="AC883" s="1" t="s">
        <v>143</v>
      </c>
      <c r="AD883" s="1" t="s">
        <v>144</v>
      </c>
      <c r="AE883" s="1" t="s">
        <v>69</v>
      </c>
      <c r="AG883" s="1">
        <v>11897880</v>
      </c>
    </row>
    <row r="884" spans="3:33" s="1" customFormat="1" x14ac:dyDescent="0.25">
      <c r="C884" s="1" t="s">
        <v>5246</v>
      </c>
      <c r="D884" s="1" t="s">
        <v>5247</v>
      </c>
      <c r="E884" s="1" t="s">
        <v>5248</v>
      </c>
      <c r="F884" s="13" t="s">
        <v>6952</v>
      </c>
      <c r="G884" s="1" t="s">
        <v>5249</v>
      </c>
      <c r="H884" s="1" t="s">
        <v>160</v>
      </c>
      <c r="I884" s="1">
        <v>240</v>
      </c>
      <c r="J884" s="1" t="s">
        <v>46</v>
      </c>
      <c r="K884" s="1" t="s">
        <v>261</v>
      </c>
      <c r="M884" s="1" t="s">
        <v>756</v>
      </c>
      <c r="N884" s="1" t="s">
        <v>48</v>
      </c>
      <c r="O884" s="9">
        <v>14</v>
      </c>
      <c r="P884" s="1">
        <f>ROUNDUP(1130*(1-$F$3),2)</f>
        <v>1130</v>
      </c>
      <c r="Q884" s="1" t="s">
        <v>49</v>
      </c>
      <c r="R884" s="1" t="s">
        <v>5250</v>
      </c>
      <c r="S884" s="1" t="s">
        <v>5251</v>
      </c>
      <c r="T884" s="9">
        <v>10</v>
      </c>
      <c r="U884" s="1">
        <f>ROUNDUP(1027.27*(1-$F$3),2)</f>
        <v>1027.27</v>
      </c>
      <c r="V884" s="1">
        <v>336</v>
      </c>
      <c r="Y884" s="1" t="s">
        <v>5252</v>
      </c>
      <c r="Z884" s="1" t="s">
        <v>53</v>
      </c>
      <c r="AA884" s="12">
        <v>44468</v>
      </c>
      <c r="AB884" s="1" t="s">
        <v>66</v>
      </c>
      <c r="AC884" s="1" t="s">
        <v>120</v>
      </c>
      <c r="AD884" s="1" t="s">
        <v>121</v>
      </c>
      <c r="AE884" s="1" t="s">
        <v>69</v>
      </c>
      <c r="AG884" s="1">
        <v>9972900</v>
      </c>
    </row>
    <row r="885" spans="3:33" s="1" customFormat="1" x14ac:dyDescent="0.25">
      <c r="C885" s="1" t="s">
        <v>5253</v>
      </c>
      <c r="D885" s="1" t="s">
        <v>5247</v>
      </c>
      <c r="E885" s="1" t="s">
        <v>5254</v>
      </c>
      <c r="F885" s="13" t="s">
        <v>6952</v>
      </c>
      <c r="G885" s="1" t="s">
        <v>5249</v>
      </c>
      <c r="H885" s="1" t="s">
        <v>160</v>
      </c>
      <c r="I885" s="1">
        <v>260</v>
      </c>
      <c r="J885" s="1" t="s">
        <v>46</v>
      </c>
      <c r="K885" s="1" t="s">
        <v>261</v>
      </c>
      <c r="M885" s="1" t="s">
        <v>169</v>
      </c>
      <c r="N885" s="1" t="s">
        <v>48</v>
      </c>
      <c r="O885" s="9">
        <v>16</v>
      </c>
      <c r="P885" s="1">
        <f>ROUNDUP(1130*(1-$F$3),2)</f>
        <v>1130</v>
      </c>
      <c r="Q885" s="1" t="s">
        <v>49</v>
      </c>
      <c r="R885" s="1" t="s">
        <v>5255</v>
      </c>
      <c r="S885" s="1" t="s">
        <v>5256</v>
      </c>
      <c r="T885" s="9">
        <v>10</v>
      </c>
      <c r="U885" s="1">
        <f>ROUNDUP(1027.27*(1-$F$3),2)</f>
        <v>1027.27</v>
      </c>
      <c r="V885" s="1">
        <v>316</v>
      </c>
      <c r="Y885" s="1" t="s">
        <v>5257</v>
      </c>
      <c r="Z885" s="1" t="s">
        <v>53</v>
      </c>
      <c r="AA885" s="12">
        <v>44600</v>
      </c>
      <c r="AB885" s="1" t="s">
        <v>66</v>
      </c>
      <c r="AC885" s="1" t="s">
        <v>120</v>
      </c>
      <c r="AD885" s="1" t="s">
        <v>121</v>
      </c>
      <c r="AE885" s="1" t="s">
        <v>69</v>
      </c>
      <c r="AG885" s="1">
        <v>10196890</v>
      </c>
    </row>
    <row r="886" spans="3:33" s="1" customFormat="1" x14ac:dyDescent="0.25">
      <c r="C886" s="1" t="s">
        <v>5258</v>
      </c>
      <c r="D886" s="1" t="s">
        <v>5247</v>
      </c>
      <c r="E886" s="1" t="s">
        <v>5259</v>
      </c>
      <c r="F886" s="13" t="s">
        <v>6952</v>
      </c>
      <c r="G886" s="1" t="s">
        <v>5249</v>
      </c>
      <c r="H886" s="1" t="s">
        <v>160</v>
      </c>
      <c r="I886" s="1">
        <v>252</v>
      </c>
      <c r="J886" s="1" t="s">
        <v>46</v>
      </c>
      <c r="K886" s="1" t="s">
        <v>261</v>
      </c>
      <c r="M886" s="1" t="s">
        <v>169</v>
      </c>
      <c r="N886" s="1" t="s">
        <v>48</v>
      </c>
      <c r="O886" s="9">
        <v>16</v>
      </c>
      <c r="P886" s="1">
        <f>ROUNDUP(1130*(1-$F$3),2)</f>
        <v>1130</v>
      </c>
      <c r="Q886" s="1" t="s">
        <v>49</v>
      </c>
      <c r="R886" s="1" t="s">
        <v>5260</v>
      </c>
      <c r="S886" s="1" t="s">
        <v>5261</v>
      </c>
      <c r="T886" s="9">
        <v>10</v>
      </c>
      <c r="U886" s="1">
        <f>ROUNDUP(1027.27*(1-$F$3),2)</f>
        <v>1027.27</v>
      </c>
      <c r="V886" s="1">
        <v>307</v>
      </c>
      <c r="Y886" s="1" t="s">
        <v>5262</v>
      </c>
      <c r="Z886" s="1" t="s">
        <v>53</v>
      </c>
      <c r="AA886" s="12">
        <v>44600</v>
      </c>
      <c r="AB886" s="1" t="s">
        <v>66</v>
      </c>
      <c r="AC886" s="1" t="s">
        <v>120</v>
      </c>
      <c r="AD886" s="1" t="s">
        <v>121</v>
      </c>
      <c r="AE886" s="1" t="s">
        <v>69</v>
      </c>
      <c r="AG886" s="1">
        <v>10225350</v>
      </c>
    </row>
    <row r="887" spans="3:33" s="1" customFormat="1" x14ac:dyDescent="0.25">
      <c r="C887" s="1" t="s">
        <v>5263</v>
      </c>
      <c r="D887" s="1" t="s">
        <v>5247</v>
      </c>
      <c r="E887" s="1" t="s">
        <v>5264</v>
      </c>
      <c r="F887" s="13" t="s">
        <v>6952</v>
      </c>
      <c r="G887" s="1" t="s">
        <v>5249</v>
      </c>
      <c r="H887" s="1" t="s">
        <v>160</v>
      </c>
      <c r="I887" s="1">
        <v>256</v>
      </c>
      <c r="J887" s="1" t="s">
        <v>46</v>
      </c>
      <c r="K887" s="1" t="s">
        <v>261</v>
      </c>
      <c r="M887" s="1" t="s">
        <v>169</v>
      </c>
      <c r="N887" s="1" t="s">
        <v>48</v>
      </c>
      <c r="O887" s="9">
        <v>14</v>
      </c>
      <c r="P887" s="1">
        <f>ROUNDUP(1130*(1-$F$3),2)</f>
        <v>1130</v>
      </c>
      <c r="Q887" s="1" t="s">
        <v>49</v>
      </c>
      <c r="R887" s="1" t="s">
        <v>5265</v>
      </c>
      <c r="S887" s="1" t="s">
        <v>5266</v>
      </c>
      <c r="T887" s="9">
        <v>10</v>
      </c>
      <c r="U887" s="1">
        <f>ROUNDUP(1027.27*(1-$F$3),2)</f>
        <v>1027.27</v>
      </c>
      <c r="V887" s="1">
        <v>352</v>
      </c>
      <c r="Y887" s="1" t="s">
        <v>5267</v>
      </c>
      <c r="Z887" s="1" t="s">
        <v>53</v>
      </c>
      <c r="AA887" s="12">
        <v>44606</v>
      </c>
      <c r="AB887" s="1" t="s">
        <v>66</v>
      </c>
      <c r="AC887" s="1" t="s">
        <v>120</v>
      </c>
      <c r="AD887" s="1" t="s">
        <v>121</v>
      </c>
      <c r="AE887" s="1" t="s">
        <v>69</v>
      </c>
      <c r="AG887" s="1">
        <v>10225340</v>
      </c>
    </row>
    <row r="888" spans="3:33" s="1" customFormat="1" x14ac:dyDescent="0.25">
      <c r="C888" s="1" t="s">
        <v>5268</v>
      </c>
      <c r="D888" s="1" t="s">
        <v>5269</v>
      </c>
      <c r="E888" s="1" t="s">
        <v>5270</v>
      </c>
      <c r="F888" s="13" t="s">
        <v>6952</v>
      </c>
      <c r="G888" s="1" t="s">
        <v>1791</v>
      </c>
      <c r="H888" s="1" t="s">
        <v>160</v>
      </c>
      <c r="I888" s="1">
        <v>720</v>
      </c>
      <c r="J888" s="1" t="s">
        <v>46</v>
      </c>
      <c r="M888" s="1" t="s">
        <v>176</v>
      </c>
      <c r="N888" s="1" t="s">
        <v>139</v>
      </c>
      <c r="O888" s="9">
        <v>6</v>
      </c>
      <c r="P888" s="1">
        <f>ROUNDUP(1520*(1-$F$3),2)</f>
        <v>1520</v>
      </c>
      <c r="Q888" s="1" t="s">
        <v>49</v>
      </c>
      <c r="R888" s="1" t="s">
        <v>5271</v>
      </c>
      <c r="S888" s="1" t="s">
        <v>5272</v>
      </c>
      <c r="T888" s="9">
        <v>10</v>
      </c>
      <c r="U888" s="1">
        <f>ROUNDUP(1381.82*(1-$F$3),2)</f>
        <v>1381.82</v>
      </c>
      <c r="V888" s="1">
        <v>629</v>
      </c>
      <c r="Y888" s="1" t="s">
        <v>5273</v>
      </c>
      <c r="Z888" s="1" t="s">
        <v>53</v>
      </c>
      <c r="AA888" s="12">
        <v>43649</v>
      </c>
      <c r="AB888" s="1" t="s">
        <v>95</v>
      </c>
      <c r="AC888" s="1" t="s">
        <v>112</v>
      </c>
      <c r="AD888" s="1" t="s">
        <v>1795</v>
      </c>
      <c r="AE888" s="1" t="s">
        <v>69</v>
      </c>
      <c r="AG888" s="1">
        <v>9075720</v>
      </c>
    </row>
    <row r="889" spans="3:33" s="1" customFormat="1" x14ac:dyDescent="0.25">
      <c r="C889" s="1" t="s">
        <v>5274</v>
      </c>
      <c r="D889" s="1" t="s">
        <v>5275</v>
      </c>
      <c r="E889" s="1" t="s">
        <v>5276</v>
      </c>
      <c r="F889" s="13" t="s">
        <v>6952</v>
      </c>
      <c r="G889" s="1" t="s">
        <v>5277</v>
      </c>
      <c r="H889" s="1" t="s">
        <v>160</v>
      </c>
      <c r="I889" s="1">
        <v>210</v>
      </c>
      <c r="J889" s="1" t="s">
        <v>46</v>
      </c>
      <c r="M889" s="1" t="s">
        <v>756</v>
      </c>
      <c r="N889" s="1" t="s">
        <v>48</v>
      </c>
      <c r="O889" s="9">
        <v>14</v>
      </c>
      <c r="P889" s="1">
        <f>ROUNDUP(786.5*(1-$F$3),2)</f>
        <v>786.5</v>
      </c>
      <c r="Q889" s="1" t="s">
        <v>49</v>
      </c>
      <c r="R889" s="1" t="s">
        <v>5278</v>
      </c>
      <c r="S889" s="1" t="s">
        <v>5279</v>
      </c>
      <c r="T889" s="9">
        <v>10</v>
      </c>
      <c r="U889" s="1">
        <f>ROUNDUP(715*(1-$F$3),2)</f>
        <v>715</v>
      </c>
      <c r="V889" s="1">
        <v>271</v>
      </c>
      <c r="Y889" s="1" t="s">
        <v>5280</v>
      </c>
      <c r="Z889" s="1" t="s">
        <v>128</v>
      </c>
      <c r="AA889" s="12">
        <v>44454</v>
      </c>
      <c r="AB889" s="1" t="s">
        <v>66</v>
      </c>
      <c r="AC889" s="1" t="s">
        <v>77</v>
      </c>
      <c r="AD889" s="1" t="s">
        <v>1360</v>
      </c>
      <c r="AE889" s="1" t="s">
        <v>69</v>
      </c>
      <c r="AG889" s="1">
        <v>9794550</v>
      </c>
    </row>
    <row r="890" spans="3:33" s="1" customFormat="1" x14ac:dyDescent="0.25">
      <c r="C890" s="1" t="s">
        <v>5281</v>
      </c>
      <c r="D890" s="1" t="s">
        <v>5282</v>
      </c>
      <c r="E890" s="1" t="s">
        <v>5283</v>
      </c>
      <c r="F890" s="13" t="s">
        <v>6952</v>
      </c>
      <c r="G890" s="1" t="s">
        <v>5284</v>
      </c>
      <c r="H890" s="1" t="s">
        <v>61</v>
      </c>
      <c r="I890" s="1">
        <v>192</v>
      </c>
      <c r="J890" s="1" t="s">
        <v>46</v>
      </c>
      <c r="M890" s="1" t="s">
        <v>161</v>
      </c>
      <c r="N890" s="1" t="s">
        <v>48</v>
      </c>
      <c r="O890" s="9">
        <v>10</v>
      </c>
      <c r="P890" s="1">
        <f>ROUNDUP(1030*(1-$F$3),2)</f>
        <v>1030</v>
      </c>
      <c r="Q890" s="1" t="s">
        <v>49</v>
      </c>
      <c r="R890" s="1" t="s">
        <v>5285</v>
      </c>
      <c r="S890" s="1" t="s">
        <v>5286</v>
      </c>
      <c r="T890" s="9">
        <v>10</v>
      </c>
      <c r="U890" s="1">
        <f>ROUNDUP(936.36*(1-$F$3),2)</f>
        <v>936.36</v>
      </c>
      <c r="V890" s="1">
        <v>358</v>
      </c>
      <c r="Y890" s="1" t="s">
        <v>5287</v>
      </c>
      <c r="Z890" s="1" t="s">
        <v>128</v>
      </c>
      <c r="AA890" s="12">
        <v>45167</v>
      </c>
      <c r="AB890" s="1" t="s">
        <v>573</v>
      </c>
      <c r="AC890" s="1" t="s">
        <v>1439</v>
      </c>
      <c r="AD890" s="1" t="s">
        <v>5288</v>
      </c>
      <c r="AE890" s="1" t="s">
        <v>69</v>
      </c>
      <c r="AG890" s="1">
        <v>11028400</v>
      </c>
    </row>
    <row r="891" spans="3:33" s="1" customFormat="1" x14ac:dyDescent="0.25">
      <c r="C891" s="1" t="s">
        <v>5289</v>
      </c>
      <c r="D891" s="1" t="s">
        <v>5290</v>
      </c>
      <c r="E891" s="1" t="s">
        <v>5291</v>
      </c>
      <c r="F891" s="13" t="s">
        <v>6952</v>
      </c>
      <c r="G891" s="1" t="s">
        <v>5292</v>
      </c>
      <c r="H891" s="1" t="s">
        <v>61</v>
      </c>
      <c r="I891" s="1">
        <v>548</v>
      </c>
      <c r="J891" s="1" t="s">
        <v>46</v>
      </c>
      <c r="M891" s="1" t="s">
        <v>176</v>
      </c>
      <c r="N891" s="1" t="s">
        <v>48</v>
      </c>
      <c r="O891" s="9">
        <v>8</v>
      </c>
      <c r="P891" s="1">
        <f>ROUNDUP(2060*(1-$F$3),2)</f>
        <v>2060</v>
      </c>
      <c r="Q891" s="1" t="s">
        <v>49</v>
      </c>
      <c r="R891" s="1" t="s">
        <v>5293</v>
      </c>
      <c r="S891" s="1" t="s">
        <v>5294</v>
      </c>
      <c r="T891" s="9">
        <v>10</v>
      </c>
      <c r="U891" s="1">
        <f>ROUNDUP(1872.73*(1-$F$3),2)</f>
        <v>1872.73</v>
      </c>
      <c r="V891" s="1">
        <v>641</v>
      </c>
      <c r="Y891" s="1" t="s">
        <v>5295</v>
      </c>
      <c r="Z891" s="1" t="s">
        <v>53</v>
      </c>
      <c r="AA891" s="12">
        <v>45539</v>
      </c>
      <c r="AB891" s="1" t="s">
        <v>66</v>
      </c>
      <c r="AC891" s="1" t="s">
        <v>77</v>
      </c>
      <c r="AD891" s="1" t="s">
        <v>1360</v>
      </c>
      <c r="AE891" s="1" t="s">
        <v>69</v>
      </c>
      <c r="AG891" s="1">
        <v>11436990</v>
      </c>
    </row>
    <row r="892" spans="3:33" s="1" customFormat="1" x14ac:dyDescent="0.25">
      <c r="C892" s="1" t="s">
        <v>5296</v>
      </c>
      <c r="D892" s="1" t="s">
        <v>5290</v>
      </c>
      <c r="E892" s="1" t="s">
        <v>5297</v>
      </c>
      <c r="F892" s="13" t="s">
        <v>6952</v>
      </c>
      <c r="G892" s="1" t="s">
        <v>5292</v>
      </c>
      <c r="H892" s="1" t="s">
        <v>61</v>
      </c>
      <c r="I892" s="1">
        <v>350</v>
      </c>
      <c r="J892" s="1" t="s">
        <v>46</v>
      </c>
      <c r="M892" s="1" t="s">
        <v>176</v>
      </c>
      <c r="N892" s="1" t="s">
        <v>48</v>
      </c>
      <c r="O892" s="9">
        <v>12</v>
      </c>
      <c r="P892" s="1">
        <f>ROUNDUP(1470*(1-$F$3),2)</f>
        <v>1470</v>
      </c>
      <c r="Q892" s="1" t="s">
        <v>49</v>
      </c>
      <c r="R892" s="1" t="s">
        <v>5298</v>
      </c>
      <c r="S892" s="1" t="s">
        <v>5299</v>
      </c>
      <c r="T892" s="9">
        <v>10</v>
      </c>
      <c r="U892" s="1">
        <f>ROUNDUP(1336.36*(1-$F$3),2)</f>
        <v>1336.36</v>
      </c>
      <c r="V892" s="1">
        <v>443</v>
      </c>
      <c r="Y892" s="1" t="s">
        <v>5300</v>
      </c>
      <c r="Z892" s="1" t="s">
        <v>53</v>
      </c>
      <c r="AA892" s="12">
        <v>45539</v>
      </c>
      <c r="AB892" s="1" t="s">
        <v>66</v>
      </c>
      <c r="AC892" s="1" t="s">
        <v>77</v>
      </c>
      <c r="AD892" s="1" t="s">
        <v>1360</v>
      </c>
      <c r="AE892" s="1" t="s">
        <v>69</v>
      </c>
      <c r="AG892" s="1">
        <v>11436940</v>
      </c>
    </row>
    <row r="893" spans="3:33" s="1" customFormat="1" x14ac:dyDescent="0.25">
      <c r="C893" s="1" t="s">
        <v>5301</v>
      </c>
      <c r="D893" s="1" t="s">
        <v>5290</v>
      </c>
      <c r="E893" s="1" t="s">
        <v>5302</v>
      </c>
      <c r="F893" s="13" t="s">
        <v>6952</v>
      </c>
      <c r="G893" s="1" t="s">
        <v>5292</v>
      </c>
      <c r="H893" s="1" t="s">
        <v>61</v>
      </c>
      <c r="I893" s="1">
        <v>472</v>
      </c>
      <c r="J893" s="1" t="s">
        <v>46</v>
      </c>
      <c r="M893" s="1" t="s">
        <v>176</v>
      </c>
      <c r="N893" s="1" t="s">
        <v>48</v>
      </c>
      <c r="O893" s="9">
        <v>8</v>
      </c>
      <c r="P893" s="1">
        <f>ROUNDUP(1640*(1-$F$3),2)</f>
        <v>1640</v>
      </c>
      <c r="Q893" s="1" t="s">
        <v>49</v>
      </c>
      <c r="R893" s="1" t="s">
        <v>5303</v>
      </c>
      <c r="S893" s="1" t="s">
        <v>5304</v>
      </c>
      <c r="T893" s="9">
        <v>10</v>
      </c>
      <c r="U893" s="1">
        <f>ROUNDUP(1490.91*(1-$F$3),2)</f>
        <v>1490.91</v>
      </c>
      <c r="V893" s="1">
        <v>566</v>
      </c>
      <c r="Y893" s="1" t="s">
        <v>5305</v>
      </c>
      <c r="Z893" s="1" t="s">
        <v>53</v>
      </c>
      <c r="AA893" s="12">
        <v>45539</v>
      </c>
      <c r="AB893" s="1" t="s">
        <v>66</v>
      </c>
      <c r="AC893" s="1" t="s">
        <v>77</v>
      </c>
      <c r="AD893" s="1" t="s">
        <v>1360</v>
      </c>
      <c r="AE893" s="1" t="s">
        <v>69</v>
      </c>
      <c r="AG893" s="1">
        <v>11440010</v>
      </c>
    </row>
    <row r="894" spans="3:33" s="1" customFormat="1" x14ac:dyDescent="0.25">
      <c r="C894" s="1" t="s">
        <v>5306</v>
      </c>
      <c r="D894" s="1" t="s">
        <v>5290</v>
      </c>
      <c r="E894" s="1" t="s">
        <v>5307</v>
      </c>
      <c r="F894" s="13" t="s">
        <v>6952</v>
      </c>
      <c r="G894" s="1" t="s">
        <v>5292</v>
      </c>
      <c r="H894" s="1" t="s">
        <v>61</v>
      </c>
      <c r="I894" s="1">
        <v>636</v>
      </c>
      <c r="J894" s="1" t="s">
        <v>46</v>
      </c>
      <c r="M894" s="1" t="s">
        <v>176</v>
      </c>
      <c r="N894" s="1" t="s">
        <v>48</v>
      </c>
      <c r="O894" s="9">
        <v>6</v>
      </c>
      <c r="P894" s="1">
        <f>ROUNDUP(2180*(1-$F$3),2)</f>
        <v>2180</v>
      </c>
      <c r="Q894" s="1" t="s">
        <v>49</v>
      </c>
      <c r="R894" s="1" t="s">
        <v>5308</v>
      </c>
      <c r="S894" s="1" t="s">
        <v>5309</v>
      </c>
      <c r="T894" s="9">
        <v>10</v>
      </c>
      <c r="U894" s="1">
        <f>ROUNDUP(1981.82*(1-$F$3),2)</f>
        <v>1981.82</v>
      </c>
      <c r="V894" s="1">
        <v>731</v>
      </c>
      <c r="Y894" s="1" t="s">
        <v>5310</v>
      </c>
      <c r="Z894" s="1" t="s">
        <v>53</v>
      </c>
      <c r="AA894" s="12">
        <v>45539</v>
      </c>
      <c r="AB894" s="1" t="s">
        <v>66</v>
      </c>
      <c r="AC894" s="1" t="s">
        <v>77</v>
      </c>
      <c r="AD894" s="1" t="s">
        <v>1360</v>
      </c>
      <c r="AE894" s="1" t="s">
        <v>69</v>
      </c>
      <c r="AG894" s="1">
        <v>11436730</v>
      </c>
    </row>
    <row r="895" spans="3:33" s="1" customFormat="1" x14ac:dyDescent="0.25">
      <c r="C895" s="1" t="s">
        <v>5311</v>
      </c>
      <c r="D895" s="1" t="s">
        <v>5290</v>
      </c>
      <c r="E895" s="1" t="s">
        <v>5312</v>
      </c>
      <c r="F895" s="13" t="s">
        <v>6952</v>
      </c>
      <c r="G895" s="1" t="s">
        <v>383</v>
      </c>
      <c r="H895" s="1" t="s">
        <v>61</v>
      </c>
      <c r="I895" s="1">
        <v>312</v>
      </c>
      <c r="J895" s="1" t="s">
        <v>46</v>
      </c>
      <c r="M895" s="1" t="s">
        <v>47</v>
      </c>
      <c r="N895" s="1" t="s">
        <v>48</v>
      </c>
      <c r="O895" s="9">
        <v>5</v>
      </c>
      <c r="P895" s="1">
        <f>ROUNDUP(1000*(1-$F$3),2)</f>
        <v>1000</v>
      </c>
      <c r="Q895" s="1" t="s">
        <v>49</v>
      </c>
      <c r="R895" s="1" t="s">
        <v>5313</v>
      </c>
      <c r="S895" s="1" t="s">
        <v>5314</v>
      </c>
      <c r="T895" s="9">
        <v>10</v>
      </c>
      <c r="U895" s="1">
        <f>ROUNDUP(909.09*(1-$F$3),2)</f>
        <v>909.09</v>
      </c>
      <c r="V895" s="1">
        <v>368</v>
      </c>
      <c r="Y895" s="1" t="s">
        <v>5315</v>
      </c>
      <c r="Z895" s="1" t="s">
        <v>128</v>
      </c>
      <c r="AA895" s="12">
        <v>45454</v>
      </c>
      <c r="AB895" s="1" t="s">
        <v>66</v>
      </c>
      <c r="AC895" s="1" t="s">
        <v>77</v>
      </c>
      <c r="AD895" s="1" t="s">
        <v>1360</v>
      </c>
      <c r="AE895" s="1" t="s">
        <v>69</v>
      </c>
      <c r="AG895" s="1">
        <v>11379920</v>
      </c>
    </row>
    <row r="896" spans="3:33" s="1" customFormat="1" x14ac:dyDescent="0.25">
      <c r="C896" s="1" t="s">
        <v>5316</v>
      </c>
      <c r="D896" s="1" t="s">
        <v>5290</v>
      </c>
      <c r="E896" s="1" t="s">
        <v>5317</v>
      </c>
      <c r="F896" s="13" t="s">
        <v>6952</v>
      </c>
      <c r="G896" s="1" t="s">
        <v>2506</v>
      </c>
      <c r="H896" s="1" t="s">
        <v>61</v>
      </c>
      <c r="I896" s="1">
        <v>1472</v>
      </c>
      <c r="J896" s="1" t="s">
        <v>46</v>
      </c>
      <c r="M896" s="1" t="s">
        <v>161</v>
      </c>
      <c r="N896" s="1" t="s">
        <v>48</v>
      </c>
      <c r="O896" s="9"/>
      <c r="P896" s="1">
        <f>ROUNDUP(3600*(1-$F$3),2)</f>
        <v>3600</v>
      </c>
      <c r="Q896" s="1" t="s">
        <v>49</v>
      </c>
      <c r="R896" s="1" t="s">
        <v>5318</v>
      </c>
      <c r="S896" s="1" t="s">
        <v>5319</v>
      </c>
      <c r="T896" s="9">
        <v>10</v>
      </c>
      <c r="U896" s="1">
        <f>ROUNDUP(3272.73*(1-$F$3),2)</f>
        <v>3272.73</v>
      </c>
      <c r="V896" s="1">
        <v>1784</v>
      </c>
      <c r="Y896" s="1" t="s">
        <v>5320</v>
      </c>
      <c r="Z896" s="1" t="s">
        <v>53</v>
      </c>
      <c r="AA896" s="12">
        <v>45126</v>
      </c>
      <c r="AB896" s="1" t="s">
        <v>66</v>
      </c>
      <c r="AC896" s="1" t="s">
        <v>67</v>
      </c>
      <c r="AD896" s="1" t="s">
        <v>180</v>
      </c>
      <c r="AE896" s="1" t="s">
        <v>69</v>
      </c>
      <c r="AG896" s="1">
        <v>11012630</v>
      </c>
    </row>
    <row r="897" spans="3:33" s="1" customFormat="1" x14ac:dyDescent="0.25">
      <c r="C897" s="1" t="s">
        <v>5321</v>
      </c>
      <c r="D897" s="1" t="s">
        <v>5290</v>
      </c>
      <c r="E897" s="1" t="s">
        <v>5322</v>
      </c>
      <c r="F897" s="13" t="s">
        <v>6952</v>
      </c>
      <c r="G897" s="1" t="s">
        <v>3264</v>
      </c>
      <c r="H897" s="1" t="s">
        <v>61</v>
      </c>
      <c r="I897" s="1">
        <v>1312</v>
      </c>
      <c r="J897" s="1" t="s">
        <v>46</v>
      </c>
      <c r="M897" s="1" t="s">
        <v>62</v>
      </c>
      <c r="N897" s="1" t="s">
        <v>48</v>
      </c>
      <c r="O897" s="9">
        <v>1</v>
      </c>
      <c r="P897" s="1">
        <f>ROUNDUP(3680*(1-$F$3),2)</f>
        <v>3680</v>
      </c>
      <c r="Q897" s="1" t="s">
        <v>49</v>
      </c>
      <c r="R897" s="1" t="s">
        <v>5323</v>
      </c>
      <c r="S897" s="1" t="s">
        <v>5324</v>
      </c>
      <c r="T897" s="9">
        <v>10</v>
      </c>
      <c r="U897" s="1">
        <f>ROUNDUP(3345.45*(1-$F$3),2)</f>
        <v>3345.45</v>
      </c>
      <c r="V897" s="1">
        <v>1669</v>
      </c>
      <c r="Y897" s="1" t="s">
        <v>5325</v>
      </c>
      <c r="Z897" s="1" t="s">
        <v>53</v>
      </c>
      <c r="AA897" s="12">
        <v>45215</v>
      </c>
      <c r="AB897" s="1" t="s">
        <v>234</v>
      </c>
      <c r="AC897" s="1" t="s">
        <v>235</v>
      </c>
      <c r="AD897" s="1" t="s">
        <v>236</v>
      </c>
      <c r="AE897" s="1" t="s">
        <v>69</v>
      </c>
      <c r="AG897" s="1">
        <v>11073730</v>
      </c>
    </row>
    <row r="898" spans="3:33" s="1" customFormat="1" x14ac:dyDescent="0.25">
      <c r="C898" s="1" t="s">
        <v>5326</v>
      </c>
      <c r="D898" s="1" t="s">
        <v>5290</v>
      </c>
      <c r="E898" s="1" t="s">
        <v>5327</v>
      </c>
      <c r="F898" s="13" t="s">
        <v>6952</v>
      </c>
      <c r="G898" s="1" t="s">
        <v>5292</v>
      </c>
      <c r="H898" s="1" t="s">
        <v>61</v>
      </c>
      <c r="I898" s="1">
        <v>5432</v>
      </c>
      <c r="J898" s="1" t="s">
        <v>46</v>
      </c>
      <c r="M898" s="1" t="s">
        <v>176</v>
      </c>
      <c r="N898" s="1" t="s">
        <v>48</v>
      </c>
      <c r="O898" s="9"/>
      <c r="P898" s="1">
        <f>ROUNDUP(19890*(1-$F$3),2)</f>
        <v>19890</v>
      </c>
      <c r="Q898" s="1" t="s">
        <v>49</v>
      </c>
      <c r="R898" s="1" t="s">
        <v>5328</v>
      </c>
      <c r="S898" s="1" t="s">
        <v>5329</v>
      </c>
      <c r="T898" s="9">
        <v>10</v>
      </c>
      <c r="U898" s="1">
        <f>ROUNDUP(18081.82*(1-$F$3),2)</f>
        <v>18081.82</v>
      </c>
      <c r="V898" s="1">
        <v>6591</v>
      </c>
      <c r="Y898" s="1" t="s">
        <v>5330</v>
      </c>
      <c r="Z898" s="1" t="s">
        <v>53</v>
      </c>
      <c r="AA898" s="12">
        <v>45546</v>
      </c>
      <c r="AB898" s="1" t="s">
        <v>66</v>
      </c>
      <c r="AC898" s="1" t="s">
        <v>77</v>
      </c>
      <c r="AD898" s="1" t="s">
        <v>1360</v>
      </c>
      <c r="AE898" s="1" t="s">
        <v>69</v>
      </c>
      <c r="AG898" s="1">
        <v>11480110</v>
      </c>
    </row>
    <row r="899" spans="3:33" s="1" customFormat="1" x14ac:dyDescent="0.25">
      <c r="C899" s="1" t="s">
        <v>5331</v>
      </c>
      <c r="D899" s="1" t="s">
        <v>5290</v>
      </c>
      <c r="E899" s="1" t="s">
        <v>5332</v>
      </c>
      <c r="F899" s="13" t="s">
        <v>6952</v>
      </c>
      <c r="G899" s="1" t="s">
        <v>5292</v>
      </c>
      <c r="H899" s="1" t="s">
        <v>61</v>
      </c>
      <c r="I899" s="1">
        <v>406</v>
      </c>
      <c r="J899" s="1" t="s">
        <v>46</v>
      </c>
      <c r="M899" s="1" t="s">
        <v>47</v>
      </c>
      <c r="N899" s="1" t="s">
        <v>48</v>
      </c>
      <c r="O899" s="9">
        <v>4</v>
      </c>
      <c r="P899" s="1">
        <f>ROUNDUP(1440*(1-$F$3),2)</f>
        <v>1440</v>
      </c>
      <c r="Q899" s="1" t="s">
        <v>49</v>
      </c>
      <c r="R899" s="1" t="s">
        <v>5333</v>
      </c>
      <c r="S899" s="1" t="s">
        <v>5334</v>
      </c>
      <c r="T899" s="9">
        <v>10</v>
      </c>
      <c r="U899" s="1">
        <f>ROUNDUP(1309.09*(1-$F$3),2)</f>
        <v>1309.0899999999999</v>
      </c>
      <c r="V899" s="1">
        <v>457</v>
      </c>
      <c r="Y899" s="1" t="s">
        <v>5335</v>
      </c>
      <c r="Z899" s="1" t="s">
        <v>53</v>
      </c>
      <c r="AA899" s="12">
        <v>45539</v>
      </c>
      <c r="AB899" s="1" t="s">
        <v>66</v>
      </c>
      <c r="AC899" s="1" t="s">
        <v>77</v>
      </c>
      <c r="AD899" s="1" t="s">
        <v>1360</v>
      </c>
      <c r="AE899" s="1" t="s">
        <v>69</v>
      </c>
      <c r="AG899" s="1">
        <v>11436950</v>
      </c>
    </row>
    <row r="900" spans="3:33" s="1" customFormat="1" x14ac:dyDescent="0.25">
      <c r="C900" s="1" t="s">
        <v>5336</v>
      </c>
      <c r="D900" s="1" t="s">
        <v>5290</v>
      </c>
      <c r="E900" s="1" t="s">
        <v>5337</v>
      </c>
      <c r="F900" s="13" t="s">
        <v>6952</v>
      </c>
      <c r="G900" s="1" t="s">
        <v>3411</v>
      </c>
      <c r="H900" s="1" t="s">
        <v>61</v>
      </c>
      <c r="I900" s="1">
        <v>224</v>
      </c>
      <c r="J900" s="1" t="s">
        <v>46</v>
      </c>
      <c r="M900" s="1" t="s">
        <v>62</v>
      </c>
      <c r="N900" s="1" t="s">
        <v>48</v>
      </c>
      <c r="O900" s="9">
        <v>10</v>
      </c>
      <c r="P900" s="1">
        <f>ROUNDUP(960*(1-$F$3),2)</f>
        <v>960</v>
      </c>
      <c r="Q900" s="1" t="s">
        <v>49</v>
      </c>
      <c r="R900" s="1" t="s">
        <v>5338</v>
      </c>
      <c r="S900" s="1" t="s">
        <v>5339</v>
      </c>
      <c r="T900" s="9">
        <v>10</v>
      </c>
      <c r="U900" s="1">
        <f>ROUNDUP(872.73*(1-$F$3),2)</f>
        <v>872.73</v>
      </c>
      <c r="V900" s="1">
        <v>361</v>
      </c>
      <c r="Y900" s="1" t="s">
        <v>5340</v>
      </c>
      <c r="Z900" s="1" t="s">
        <v>53</v>
      </c>
      <c r="AA900" s="12">
        <v>45143</v>
      </c>
      <c r="AB900" s="1" t="s">
        <v>66</v>
      </c>
      <c r="AC900" s="1" t="s">
        <v>77</v>
      </c>
      <c r="AD900" s="1" t="s">
        <v>605</v>
      </c>
      <c r="AE900" s="1" t="s">
        <v>69</v>
      </c>
      <c r="AG900" s="1">
        <v>11004010</v>
      </c>
    </row>
    <row r="901" spans="3:33" s="1" customFormat="1" x14ac:dyDescent="0.25">
      <c r="C901" s="1" t="s">
        <v>5341</v>
      </c>
      <c r="D901" s="1" t="s">
        <v>5290</v>
      </c>
      <c r="E901" s="1" t="s">
        <v>5342</v>
      </c>
      <c r="F901" s="13" t="s">
        <v>6952</v>
      </c>
      <c r="G901" s="1" t="s">
        <v>5292</v>
      </c>
      <c r="H901" s="1" t="s">
        <v>61</v>
      </c>
      <c r="I901" s="1">
        <v>424</v>
      </c>
      <c r="J901" s="1" t="s">
        <v>46</v>
      </c>
      <c r="M901" s="1" t="s">
        <v>176</v>
      </c>
      <c r="N901" s="1" t="s">
        <v>48</v>
      </c>
      <c r="O901" s="9">
        <v>10</v>
      </c>
      <c r="P901" s="1">
        <f>ROUNDUP(1470*(1-$F$3),2)</f>
        <v>1470</v>
      </c>
      <c r="Q901" s="1" t="s">
        <v>49</v>
      </c>
      <c r="R901" s="1" t="s">
        <v>5343</v>
      </c>
      <c r="S901" s="1" t="s">
        <v>5344</v>
      </c>
      <c r="T901" s="9">
        <v>10</v>
      </c>
      <c r="U901" s="1">
        <f>ROUNDUP(1336.36*(1-$F$3),2)</f>
        <v>1336.36</v>
      </c>
      <c r="V901" s="1">
        <v>524</v>
      </c>
      <c r="Y901" s="1" t="s">
        <v>5345</v>
      </c>
      <c r="Z901" s="1" t="s">
        <v>53</v>
      </c>
      <c r="AA901" s="12">
        <v>45539</v>
      </c>
      <c r="AB901" s="1" t="s">
        <v>66</v>
      </c>
      <c r="AC901" s="1" t="s">
        <v>77</v>
      </c>
      <c r="AD901" s="1" t="s">
        <v>1360</v>
      </c>
      <c r="AE901" s="1" t="s">
        <v>69</v>
      </c>
      <c r="AG901" s="1">
        <v>11436980</v>
      </c>
    </row>
    <row r="902" spans="3:33" s="1" customFormat="1" x14ac:dyDescent="0.25">
      <c r="C902" s="1" t="s">
        <v>5346</v>
      </c>
      <c r="D902" s="1" t="s">
        <v>5290</v>
      </c>
      <c r="E902" s="1" t="s">
        <v>5347</v>
      </c>
      <c r="F902" s="13" t="s">
        <v>6952</v>
      </c>
      <c r="G902" s="1" t="s">
        <v>5292</v>
      </c>
      <c r="H902" s="1" t="s">
        <v>61</v>
      </c>
      <c r="I902" s="1">
        <v>382</v>
      </c>
      <c r="J902" s="1" t="s">
        <v>46</v>
      </c>
      <c r="M902" s="1" t="s">
        <v>176</v>
      </c>
      <c r="N902" s="1" t="s">
        <v>48</v>
      </c>
      <c r="O902" s="9">
        <v>10</v>
      </c>
      <c r="P902" s="1">
        <f>ROUNDUP(1380*(1-$F$3),2)</f>
        <v>1380</v>
      </c>
      <c r="Q902" s="1" t="s">
        <v>49</v>
      </c>
      <c r="R902" s="1" t="s">
        <v>5348</v>
      </c>
      <c r="S902" s="1" t="s">
        <v>5349</v>
      </c>
      <c r="T902" s="9">
        <v>10</v>
      </c>
      <c r="U902" s="1">
        <f>ROUNDUP(1254.55*(1-$F$3),2)</f>
        <v>1254.55</v>
      </c>
      <c r="V902" s="1">
        <v>481</v>
      </c>
      <c r="Y902" s="1" t="s">
        <v>5350</v>
      </c>
      <c r="Z902" s="1" t="s">
        <v>53</v>
      </c>
      <c r="AA902" s="12">
        <v>45539</v>
      </c>
      <c r="AB902" s="1" t="s">
        <v>66</v>
      </c>
      <c r="AC902" s="1" t="s">
        <v>77</v>
      </c>
      <c r="AD902" s="1" t="s">
        <v>1360</v>
      </c>
      <c r="AE902" s="1" t="s">
        <v>69</v>
      </c>
      <c r="AG902" s="1">
        <v>11440060</v>
      </c>
    </row>
    <row r="903" spans="3:33" s="1" customFormat="1" x14ac:dyDescent="0.25">
      <c r="C903" s="1" t="s">
        <v>5351</v>
      </c>
      <c r="D903" s="1" t="s">
        <v>5290</v>
      </c>
      <c r="E903" s="1" t="s">
        <v>5352</v>
      </c>
      <c r="F903" s="13" t="s">
        <v>6952</v>
      </c>
      <c r="G903" s="1" t="s">
        <v>5353</v>
      </c>
      <c r="H903" s="1" t="s">
        <v>61</v>
      </c>
      <c r="I903" s="1">
        <v>4960</v>
      </c>
      <c r="J903" s="1" t="s">
        <v>46</v>
      </c>
      <c r="M903" s="1" t="s">
        <v>756</v>
      </c>
      <c r="N903" s="1" t="s">
        <v>48</v>
      </c>
      <c r="O903" s="9">
        <v>1</v>
      </c>
      <c r="P903" s="1">
        <f>ROUNDUP(12460*(1-$F$3),2)</f>
        <v>12460</v>
      </c>
      <c r="Q903" s="1" t="s">
        <v>49</v>
      </c>
      <c r="R903" s="1" t="s">
        <v>5354</v>
      </c>
      <c r="S903" s="1" t="s">
        <v>5355</v>
      </c>
      <c r="T903" s="9">
        <v>10</v>
      </c>
      <c r="U903" s="1">
        <f>ROUNDUP(11327.27*(1-$F$3),2)</f>
        <v>11327.27</v>
      </c>
      <c r="V903" s="1">
        <v>6429</v>
      </c>
      <c r="Y903" s="1" t="s">
        <v>5356</v>
      </c>
      <c r="Z903" s="1" t="s">
        <v>128</v>
      </c>
      <c r="AA903" s="12">
        <v>44356</v>
      </c>
      <c r="AB903" s="1" t="s">
        <v>95</v>
      </c>
      <c r="AC903" s="1" t="s">
        <v>313</v>
      </c>
      <c r="AD903" s="1" t="s">
        <v>2410</v>
      </c>
      <c r="AE903" s="1" t="s">
        <v>69</v>
      </c>
      <c r="AG903" s="1">
        <v>9743250</v>
      </c>
    </row>
    <row r="904" spans="3:33" s="1" customFormat="1" x14ac:dyDescent="0.25">
      <c r="C904" s="1" t="s">
        <v>5357</v>
      </c>
      <c r="D904" s="1" t="s">
        <v>5290</v>
      </c>
      <c r="E904" s="1" t="s">
        <v>5358</v>
      </c>
      <c r="F904" s="13" t="s">
        <v>6952</v>
      </c>
      <c r="G904" s="1" t="s">
        <v>5359</v>
      </c>
      <c r="H904" s="1" t="s">
        <v>61</v>
      </c>
      <c r="I904" s="1">
        <v>416</v>
      </c>
      <c r="J904" s="1" t="s">
        <v>46</v>
      </c>
      <c r="M904" s="1" t="s">
        <v>47</v>
      </c>
      <c r="N904" s="1" t="s">
        <v>48</v>
      </c>
      <c r="O904" s="9">
        <v>5</v>
      </c>
      <c r="P904" s="1">
        <f>ROUNDUP(1670*(1-$F$3),2)</f>
        <v>1670</v>
      </c>
      <c r="Q904" s="1" t="s">
        <v>49</v>
      </c>
      <c r="R904" s="1" t="s">
        <v>5360</v>
      </c>
      <c r="S904" s="1" t="s">
        <v>5361</v>
      </c>
      <c r="T904" s="9">
        <v>10</v>
      </c>
      <c r="U904" s="1">
        <f>ROUNDUP(1518.18*(1-$F$3),2)</f>
        <v>1518.18</v>
      </c>
      <c r="V904" s="1">
        <v>506</v>
      </c>
      <c r="Y904" s="1" t="s">
        <v>5362</v>
      </c>
      <c r="Z904" s="1" t="s">
        <v>53</v>
      </c>
      <c r="AA904" s="12">
        <v>45590</v>
      </c>
      <c r="AB904" s="1" t="s">
        <v>66</v>
      </c>
      <c r="AC904" s="1" t="s">
        <v>1328</v>
      </c>
      <c r="AD904" s="1" t="s">
        <v>5363</v>
      </c>
      <c r="AE904" s="1" t="s">
        <v>69</v>
      </c>
      <c r="AG904" s="1">
        <v>11502900</v>
      </c>
    </row>
    <row r="905" spans="3:33" s="1" customFormat="1" x14ac:dyDescent="0.25">
      <c r="C905" s="1" t="s">
        <v>5364</v>
      </c>
      <c r="D905" s="1" t="s">
        <v>5290</v>
      </c>
      <c r="E905" s="1" t="s">
        <v>5365</v>
      </c>
      <c r="F905" s="13" t="s">
        <v>6952</v>
      </c>
      <c r="G905" s="1" t="s">
        <v>5292</v>
      </c>
      <c r="H905" s="1" t="s">
        <v>61</v>
      </c>
      <c r="I905" s="1">
        <v>444</v>
      </c>
      <c r="J905" s="1" t="s">
        <v>46</v>
      </c>
      <c r="M905" s="1" t="s">
        <v>176</v>
      </c>
      <c r="N905" s="1" t="s">
        <v>48</v>
      </c>
      <c r="O905" s="9">
        <v>10</v>
      </c>
      <c r="P905" s="1">
        <f>ROUNDUP(1640*(1-$F$3),2)</f>
        <v>1640</v>
      </c>
      <c r="Q905" s="1" t="s">
        <v>49</v>
      </c>
      <c r="R905" s="1" t="s">
        <v>5366</v>
      </c>
      <c r="S905" s="1" t="s">
        <v>5367</v>
      </c>
      <c r="T905" s="9">
        <v>10</v>
      </c>
      <c r="U905" s="1">
        <f>ROUNDUP(1490.91*(1-$F$3),2)</f>
        <v>1490.91</v>
      </c>
      <c r="V905" s="1">
        <v>543</v>
      </c>
      <c r="Y905" s="1" t="s">
        <v>5368</v>
      </c>
      <c r="Z905" s="1" t="s">
        <v>53</v>
      </c>
      <c r="AA905" s="12">
        <v>45539</v>
      </c>
      <c r="AB905" s="1" t="s">
        <v>66</v>
      </c>
      <c r="AC905" s="1" t="s">
        <v>77</v>
      </c>
      <c r="AD905" s="1" t="s">
        <v>1360</v>
      </c>
      <c r="AE905" s="1" t="s">
        <v>69</v>
      </c>
      <c r="AG905" s="1">
        <v>11436610</v>
      </c>
    </row>
    <row r="906" spans="3:33" s="1" customFormat="1" x14ac:dyDescent="0.25">
      <c r="C906" s="1" t="s">
        <v>5369</v>
      </c>
      <c r="D906" s="1" t="s">
        <v>5290</v>
      </c>
      <c r="E906" s="1" t="s">
        <v>5370</v>
      </c>
      <c r="F906" s="13" t="s">
        <v>6952</v>
      </c>
      <c r="G906" s="1" t="s">
        <v>5292</v>
      </c>
      <c r="H906" s="1" t="s">
        <v>61</v>
      </c>
      <c r="I906" s="1">
        <v>288</v>
      </c>
      <c r="J906" s="1" t="s">
        <v>46</v>
      </c>
      <c r="M906" s="1" t="s">
        <v>176</v>
      </c>
      <c r="N906" s="1" t="s">
        <v>48</v>
      </c>
      <c r="O906" s="9">
        <v>14</v>
      </c>
      <c r="P906" s="1">
        <f>ROUNDUP(1090*(1-$F$3),2)</f>
        <v>1090</v>
      </c>
      <c r="Q906" s="1" t="s">
        <v>49</v>
      </c>
      <c r="R906" s="1" t="s">
        <v>5371</v>
      </c>
      <c r="S906" s="1" t="s">
        <v>5372</v>
      </c>
      <c r="T906" s="9">
        <v>10</v>
      </c>
      <c r="U906" s="1">
        <f>ROUNDUP(990.91*(1-$F$3),2)</f>
        <v>990.91</v>
      </c>
      <c r="V906" s="1">
        <v>385</v>
      </c>
      <c r="Y906" s="1" t="s">
        <v>5373</v>
      </c>
      <c r="Z906" s="1" t="s">
        <v>53</v>
      </c>
      <c r="AA906" s="12">
        <v>45539</v>
      </c>
      <c r="AB906" s="1" t="s">
        <v>66</v>
      </c>
      <c r="AC906" s="1" t="s">
        <v>77</v>
      </c>
      <c r="AD906" s="1" t="s">
        <v>1360</v>
      </c>
      <c r="AE906" s="1" t="s">
        <v>69</v>
      </c>
      <c r="AG906" s="1">
        <v>11437130</v>
      </c>
    </row>
    <row r="907" spans="3:33" s="1" customFormat="1" x14ac:dyDescent="0.25">
      <c r="C907" s="1" t="s">
        <v>5374</v>
      </c>
      <c r="D907" s="1" t="s">
        <v>5290</v>
      </c>
      <c r="E907" s="1" t="s">
        <v>5375</v>
      </c>
      <c r="F907" s="13" t="s">
        <v>6952</v>
      </c>
      <c r="G907" s="1" t="s">
        <v>4960</v>
      </c>
      <c r="H907" s="1" t="s">
        <v>61</v>
      </c>
      <c r="I907" s="1">
        <v>1184</v>
      </c>
      <c r="J907" s="1" t="s">
        <v>46</v>
      </c>
      <c r="M907" s="1" t="s">
        <v>161</v>
      </c>
      <c r="N907" s="1" t="s">
        <v>48</v>
      </c>
      <c r="O907" s="9">
        <v>2</v>
      </c>
      <c r="P907" s="1">
        <f>ROUNDUP(2840*(1-$F$3),2)</f>
        <v>2840</v>
      </c>
      <c r="Q907" s="1" t="s">
        <v>49</v>
      </c>
      <c r="R907" s="1" t="s">
        <v>5376</v>
      </c>
      <c r="S907" s="1" t="s">
        <v>5377</v>
      </c>
      <c r="T907" s="9">
        <v>10</v>
      </c>
      <c r="U907" s="1">
        <f>ROUNDUP(2581.82*(1-$F$3),2)</f>
        <v>2581.8200000000002</v>
      </c>
      <c r="V907" s="1">
        <v>1394</v>
      </c>
      <c r="Y907" s="1" t="s">
        <v>5378</v>
      </c>
      <c r="Z907" s="1" t="s">
        <v>53</v>
      </c>
      <c r="AA907" s="12">
        <v>45143</v>
      </c>
      <c r="AB907" s="1" t="s">
        <v>66</v>
      </c>
      <c r="AC907" s="1" t="s">
        <v>77</v>
      </c>
      <c r="AD907" s="1" t="s">
        <v>605</v>
      </c>
      <c r="AE907" s="1" t="s">
        <v>69</v>
      </c>
      <c r="AG907" s="1">
        <v>11014980</v>
      </c>
    </row>
    <row r="908" spans="3:33" s="1" customFormat="1" x14ac:dyDescent="0.25">
      <c r="C908" s="1" t="s">
        <v>5379</v>
      </c>
      <c r="D908" s="1" t="s">
        <v>5290</v>
      </c>
      <c r="E908" s="1" t="s">
        <v>5380</v>
      </c>
      <c r="F908" s="13" t="s">
        <v>6952</v>
      </c>
      <c r="G908" s="1" t="s">
        <v>4966</v>
      </c>
      <c r="H908" s="1" t="s">
        <v>61</v>
      </c>
      <c r="I908" s="1">
        <v>2128</v>
      </c>
      <c r="J908" s="1" t="s">
        <v>46</v>
      </c>
      <c r="M908" s="1" t="s">
        <v>161</v>
      </c>
      <c r="N908" s="1" t="s">
        <v>48</v>
      </c>
      <c r="O908" s="9">
        <v>1</v>
      </c>
      <c r="P908" s="1">
        <f>ROUNDUP(3740*(1-$F$3),2)</f>
        <v>3740</v>
      </c>
      <c r="Q908" s="1" t="s">
        <v>49</v>
      </c>
      <c r="R908" s="1" t="s">
        <v>5381</v>
      </c>
      <c r="S908" s="1" t="s">
        <v>5382</v>
      </c>
      <c r="T908" s="9">
        <v>10</v>
      </c>
      <c r="U908" s="1">
        <f>ROUNDUP(3400*(1-$F$3),2)</f>
        <v>3400</v>
      </c>
      <c r="V908" s="1">
        <v>2422</v>
      </c>
      <c r="Y908" s="1" t="s">
        <v>5383</v>
      </c>
      <c r="AA908" s="12">
        <v>45187</v>
      </c>
      <c r="AB908" s="1" t="s">
        <v>66</v>
      </c>
      <c r="AC908" s="1" t="s">
        <v>77</v>
      </c>
      <c r="AD908" s="1" t="s">
        <v>605</v>
      </c>
      <c r="AE908" s="1" t="s">
        <v>69</v>
      </c>
      <c r="AG908" s="1">
        <v>11086270</v>
      </c>
    </row>
    <row r="909" spans="3:33" s="1" customFormat="1" x14ac:dyDescent="0.25">
      <c r="C909" s="1" t="s">
        <v>5384</v>
      </c>
      <c r="D909" s="1" t="s">
        <v>5290</v>
      </c>
      <c r="E909" s="1" t="s">
        <v>5385</v>
      </c>
      <c r="F909" s="13" t="s">
        <v>6952</v>
      </c>
      <c r="G909" s="1" t="s">
        <v>4966</v>
      </c>
      <c r="H909" s="1" t="s">
        <v>61</v>
      </c>
      <c r="I909" s="1">
        <v>3006</v>
      </c>
      <c r="J909" s="1" t="s">
        <v>46</v>
      </c>
      <c r="M909" s="1" t="s">
        <v>161</v>
      </c>
      <c r="N909" s="1" t="s">
        <v>48</v>
      </c>
      <c r="O909" s="9">
        <v>1</v>
      </c>
      <c r="P909" s="1">
        <f>ROUNDUP(5680*(1-$F$3),2)</f>
        <v>5680</v>
      </c>
      <c r="Q909" s="1" t="s">
        <v>49</v>
      </c>
      <c r="R909" s="1" t="s">
        <v>5386</v>
      </c>
      <c r="S909" s="1" t="s">
        <v>5387</v>
      </c>
      <c r="T909" s="9">
        <v>10</v>
      </c>
      <c r="U909" s="1">
        <f>ROUNDUP(5163.64*(1-$F$3),2)</f>
        <v>5163.6400000000003</v>
      </c>
      <c r="V909" s="1">
        <v>3442</v>
      </c>
      <c r="Y909" s="1" t="s">
        <v>5388</v>
      </c>
      <c r="AA909" s="12">
        <v>45199</v>
      </c>
      <c r="AB909" s="1" t="s">
        <v>66</v>
      </c>
      <c r="AC909" s="1" t="s">
        <v>77</v>
      </c>
      <c r="AD909" s="1" t="s">
        <v>605</v>
      </c>
      <c r="AE909" s="1" t="s">
        <v>69</v>
      </c>
      <c r="AG909" s="1">
        <v>11100930</v>
      </c>
    </row>
    <row r="910" spans="3:33" s="1" customFormat="1" x14ac:dyDescent="0.25">
      <c r="C910" s="1" t="s">
        <v>5389</v>
      </c>
      <c r="D910" s="1" t="s">
        <v>5290</v>
      </c>
      <c r="E910" s="1" t="s">
        <v>5390</v>
      </c>
      <c r="F910" s="13" t="s">
        <v>6952</v>
      </c>
      <c r="G910" s="1" t="s">
        <v>5292</v>
      </c>
      <c r="H910" s="1" t="s">
        <v>61</v>
      </c>
      <c r="I910" s="1">
        <v>446</v>
      </c>
      <c r="J910" s="1" t="s">
        <v>46</v>
      </c>
      <c r="M910" s="1" t="s">
        <v>176</v>
      </c>
      <c r="N910" s="1" t="s">
        <v>48</v>
      </c>
      <c r="O910" s="9">
        <v>10</v>
      </c>
      <c r="P910" s="1">
        <f>ROUNDUP(1640*(1-$F$3),2)</f>
        <v>1640</v>
      </c>
      <c r="Q910" s="1" t="s">
        <v>49</v>
      </c>
      <c r="R910" s="1" t="s">
        <v>5391</v>
      </c>
      <c r="S910" s="1" t="s">
        <v>5392</v>
      </c>
      <c r="T910" s="9">
        <v>10</v>
      </c>
      <c r="U910" s="1">
        <f>ROUNDUP(1490.91*(1-$F$3),2)</f>
        <v>1490.91</v>
      </c>
      <c r="V910" s="1">
        <v>543</v>
      </c>
      <c r="Y910" s="1" t="s">
        <v>5393</v>
      </c>
      <c r="Z910" s="1" t="s">
        <v>53</v>
      </c>
      <c r="AA910" s="12">
        <v>45539</v>
      </c>
      <c r="AB910" s="1" t="s">
        <v>66</v>
      </c>
      <c r="AC910" s="1" t="s">
        <v>77</v>
      </c>
      <c r="AD910" s="1" t="s">
        <v>1360</v>
      </c>
      <c r="AE910" s="1" t="s">
        <v>69</v>
      </c>
      <c r="AG910" s="1">
        <v>11436900</v>
      </c>
    </row>
    <row r="911" spans="3:33" s="1" customFormat="1" x14ac:dyDescent="0.25">
      <c r="C911" s="1" t="s">
        <v>5394</v>
      </c>
      <c r="D911" s="1" t="s">
        <v>5395</v>
      </c>
      <c r="E911" s="1" t="s">
        <v>5396</v>
      </c>
      <c r="F911" s="13" t="s">
        <v>6952</v>
      </c>
      <c r="G911" s="1" t="s">
        <v>5397</v>
      </c>
      <c r="H911" s="1" t="s">
        <v>160</v>
      </c>
      <c r="I911" s="1">
        <v>400</v>
      </c>
      <c r="J911" s="1" t="s">
        <v>46</v>
      </c>
      <c r="K911" s="1" t="s">
        <v>1566</v>
      </c>
      <c r="M911" s="1" t="s">
        <v>2310</v>
      </c>
      <c r="N911" s="1" t="s">
        <v>48</v>
      </c>
      <c r="O911" s="9">
        <v>36</v>
      </c>
      <c r="P911" s="1">
        <f>ROUNDUP(1260*(1-$F$3),2)</f>
        <v>1260</v>
      </c>
      <c r="Q911" s="1" t="s">
        <v>49</v>
      </c>
      <c r="R911" s="1" t="s">
        <v>5398</v>
      </c>
      <c r="S911" s="1" t="s">
        <v>5399</v>
      </c>
      <c r="T911" s="9">
        <v>10</v>
      </c>
      <c r="U911" s="1">
        <f>ROUNDUP(1145.45*(1-$F$3),2)</f>
        <v>1145.45</v>
      </c>
      <c r="V911" s="1">
        <v>444</v>
      </c>
      <c r="Y911" s="1" t="s">
        <v>5400</v>
      </c>
      <c r="Z911" s="1" t="s">
        <v>128</v>
      </c>
      <c r="AA911" s="12">
        <v>43367</v>
      </c>
      <c r="AB911" s="1" t="s">
        <v>66</v>
      </c>
      <c r="AC911" s="1" t="s">
        <v>143</v>
      </c>
      <c r="AD911" s="1" t="s">
        <v>144</v>
      </c>
      <c r="AE911" s="1" t="s">
        <v>69</v>
      </c>
      <c r="AG911" s="1">
        <v>8787030</v>
      </c>
    </row>
    <row r="912" spans="3:33" s="1" customFormat="1" x14ac:dyDescent="0.25">
      <c r="C912" s="1" t="s">
        <v>5401</v>
      </c>
      <c r="D912" s="1" t="s">
        <v>5402</v>
      </c>
      <c r="E912" s="1" t="s">
        <v>5403</v>
      </c>
      <c r="F912" s="13" t="s">
        <v>6952</v>
      </c>
      <c r="G912" s="1" t="s">
        <v>5404</v>
      </c>
      <c r="H912" s="1" t="s">
        <v>160</v>
      </c>
      <c r="I912" s="1">
        <v>544</v>
      </c>
      <c r="J912" s="1" t="s">
        <v>46</v>
      </c>
      <c r="M912" s="1" t="s">
        <v>756</v>
      </c>
      <c r="N912" s="1" t="s">
        <v>48</v>
      </c>
      <c r="O912" s="9">
        <v>8</v>
      </c>
      <c r="P912" s="1">
        <f>ROUNDUP(1390*(1-$F$3),2)</f>
        <v>1390</v>
      </c>
      <c r="Q912" s="1" t="s">
        <v>49</v>
      </c>
      <c r="R912" s="1" t="s">
        <v>5405</v>
      </c>
      <c r="S912" s="1" t="s">
        <v>5406</v>
      </c>
      <c r="T912" s="9">
        <v>10</v>
      </c>
      <c r="U912" s="1">
        <f>ROUNDUP(1263.64*(1-$F$3),2)</f>
        <v>1263.6400000000001</v>
      </c>
      <c r="V912" s="1">
        <v>553</v>
      </c>
      <c r="Y912" s="1" t="s">
        <v>5407</v>
      </c>
      <c r="Z912" s="1" t="s">
        <v>53</v>
      </c>
      <c r="AA912" s="12">
        <v>44209</v>
      </c>
      <c r="AB912" s="1" t="s">
        <v>234</v>
      </c>
      <c r="AC912" s="1" t="s">
        <v>528</v>
      </c>
      <c r="AD912" s="1" t="s">
        <v>2616</v>
      </c>
      <c r="AE912" s="1" t="s">
        <v>69</v>
      </c>
      <c r="AG912" s="1">
        <v>9577830</v>
      </c>
    </row>
    <row r="913" spans="3:33" s="1" customFormat="1" x14ac:dyDescent="0.25">
      <c r="C913" s="1" t="s">
        <v>5408</v>
      </c>
      <c r="D913" s="1" t="s">
        <v>5409</v>
      </c>
      <c r="E913" s="1" t="s">
        <v>5410</v>
      </c>
      <c r="F913" s="13" t="s">
        <v>6952</v>
      </c>
      <c r="G913" s="1" t="s">
        <v>5411</v>
      </c>
      <c r="H913" s="1" t="s">
        <v>61</v>
      </c>
      <c r="I913" s="1">
        <v>538</v>
      </c>
      <c r="J913" s="1" t="s">
        <v>46</v>
      </c>
      <c r="M913" s="1" t="s">
        <v>176</v>
      </c>
      <c r="N913" s="1" t="s">
        <v>48</v>
      </c>
      <c r="O913" s="9">
        <v>8</v>
      </c>
      <c r="P913" s="1">
        <f>ROUNDUP(1750*(1-$F$3),2)</f>
        <v>1750</v>
      </c>
      <c r="Q913" s="1" t="s">
        <v>49</v>
      </c>
      <c r="R913" s="1" t="s">
        <v>5412</v>
      </c>
      <c r="S913" s="1" t="s">
        <v>5413</v>
      </c>
      <c r="T913" s="9">
        <v>10</v>
      </c>
      <c r="U913" s="1">
        <f>ROUNDUP(1590.91*(1-$F$3),2)</f>
        <v>1590.91</v>
      </c>
      <c r="V913" s="1">
        <v>754</v>
      </c>
      <c r="Y913" s="1" t="s">
        <v>5414</v>
      </c>
      <c r="Z913" s="1" t="s">
        <v>53</v>
      </c>
      <c r="AA913" s="12">
        <v>45302</v>
      </c>
      <c r="AB913" s="1" t="s">
        <v>66</v>
      </c>
      <c r="AC913" s="1" t="s">
        <v>104</v>
      </c>
      <c r="AD913" s="1" t="s">
        <v>105</v>
      </c>
      <c r="AE913" s="1" t="s">
        <v>69</v>
      </c>
      <c r="AG913" s="1">
        <v>11198050</v>
      </c>
    </row>
    <row r="914" spans="3:33" s="1" customFormat="1" x14ac:dyDescent="0.25">
      <c r="C914" s="1" t="s">
        <v>5415</v>
      </c>
      <c r="D914" s="1" t="s">
        <v>5409</v>
      </c>
      <c r="E914" s="1" t="s">
        <v>5416</v>
      </c>
      <c r="F914" s="13" t="s">
        <v>6952</v>
      </c>
      <c r="G914" s="1" t="s">
        <v>5417</v>
      </c>
      <c r="H914" s="1" t="s">
        <v>1240</v>
      </c>
      <c r="I914" s="1">
        <v>172</v>
      </c>
      <c r="J914" s="1" t="s">
        <v>46</v>
      </c>
      <c r="M914" s="1" t="s">
        <v>1061</v>
      </c>
      <c r="N914" s="1" t="s">
        <v>139</v>
      </c>
      <c r="O914" s="9">
        <v>22</v>
      </c>
      <c r="P914" s="1">
        <f>ROUNDUP(810*(1-$F$3),2)</f>
        <v>810</v>
      </c>
      <c r="Q914" s="1" t="s">
        <v>49</v>
      </c>
      <c r="R914" s="1" t="s">
        <v>5418</v>
      </c>
      <c r="S914" s="1" t="s">
        <v>5419</v>
      </c>
      <c r="T914" s="9">
        <v>10</v>
      </c>
      <c r="U914" s="1">
        <f>ROUNDUP(736.36*(1-$F$3),2)</f>
        <v>736.36</v>
      </c>
      <c r="V914" s="1">
        <v>137</v>
      </c>
      <c r="Y914" s="1" t="s">
        <v>5420</v>
      </c>
      <c r="Z914" s="1" t="s">
        <v>76</v>
      </c>
      <c r="AA914" s="12">
        <v>43458</v>
      </c>
      <c r="AB914" s="1" t="s">
        <v>66</v>
      </c>
      <c r="AC914" s="1" t="s">
        <v>104</v>
      </c>
      <c r="AD914" s="1" t="s">
        <v>105</v>
      </c>
      <c r="AE914" s="1" t="s">
        <v>69</v>
      </c>
      <c r="AG914" s="1">
        <v>8891690</v>
      </c>
    </row>
    <row r="915" spans="3:33" s="1" customFormat="1" x14ac:dyDescent="0.25">
      <c r="C915" s="1" t="s">
        <v>5421</v>
      </c>
      <c r="D915" s="1" t="s">
        <v>5409</v>
      </c>
      <c r="E915" s="1" t="s">
        <v>5422</v>
      </c>
      <c r="F915" s="13" t="s">
        <v>6952</v>
      </c>
      <c r="G915" s="1" t="s">
        <v>168</v>
      </c>
      <c r="H915" s="1" t="s">
        <v>160</v>
      </c>
      <c r="I915" s="1">
        <v>432</v>
      </c>
      <c r="J915" s="1" t="s">
        <v>46</v>
      </c>
      <c r="M915" s="1" t="s">
        <v>176</v>
      </c>
      <c r="N915" s="1" t="s">
        <v>48</v>
      </c>
      <c r="O915" s="9">
        <v>8</v>
      </c>
      <c r="P915" s="1">
        <f>ROUNDUP(1230*(1-$F$3),2)</f>
        <v>1230</v>
      </c>
      <c r="Q915" s="1" t="s">
        <v>49</v>
      </c>
      <c r="R915" s="1" t="s">
        <v>5423</v>
      </c>
      <c r="S915" s="1" t="s">
        <v>5424</v>
      </c>
      <c r="T915" s="9">
        <v>10</v>
      </c>
      <c r="U915" s="1">
        <f>ROUNDUP(1118.18*(1-$F$3),2)</f>
        <v>1118.18</v>
      </c>
      <c r="V915" s="1">
        <v>534</v>
      </c>
      <c r="Y915" s="1" t="s">
        <v>5425</v>
      </c>
      <c r="Z915" s="1" t="s">
        <v>128</v>
      </c>
      <c r="AA915" s="12">
        <v>45391</v>
      </c>
      <c r="AB915" s="1" t="s">
        <v>66</v>
      </c>
      <c r="AC915" s="1" t="s">
        <v>104</v>
      </c>
      <c r="AD915" s="1" t="s">
        <v>105</v>
      </c>
      <c r="AE915" s="1" t="s">
        <v>69</v>
      </c>
      <c r="AG915" s="1">
        <v>11288880</v>
      </c>
    </row>
    <row r="916" spans="3:33" s="1" customFormat="1" x14ac:dyDescent="0.25">
      <c r="C916" s="1" t="s">
        <v>5426</v>
      </c>
      <c r="D916" s="1" t="s">
        <v>5409</v>
      </c>
      <c r="E916" s="1" t="s">
        <v>5427</v>
      </c>
      <c r="F916" s="13" t="s">
        <v>6952</v>
      </c>
      <c r="G916" s="1" t="s">
        <v>5428</v>
      </c>
      <c r="H916" s="1" t="s">
        <v>160</v>
      </c>
      <c r="I916" s="1">
        <v>191</v>
      </c>
      <c r="J916" s="1" t="s">
        <v>46</v>
      </c>
      <c r="K916" s="1" t="s">
        <v>1566</v>
      </c>
      <c r="M916" s="1" t="s">
        <v>2310</v>
      </c>
      <c r="N916" s="1" t="s">
        <v>48</v>
      </c>
      <c r="O916" s="9">
        <v>24</v>
      </c>
      <c r="P916" s="1">
        <f>ROUNDUP(790*(1-$F$3),2)</f>
        <v>790</v>
      </c>
      <c r="Q916" s="1" t="s">
        <v>49</v>
      </c>
      <c r="R916" s="1" t="s">
        <v>5429</v>
      </c>
      <c r="S916" s="1" t="s">
        <v>5430</v>
      </c>
      <c r="T916" s="9">
        <v>10</v>
      </c>
      <c r="U916" s="1">
        <f>ROUNDUP(718.18*(1-$F$3),2)</f>
        <v>718.18</v>
      </c>
      <c r="V916" s="1">
        <v>246</v>
      </c>
      <c r="Y916" s="1" t="s">
        <v>5431</v>
      </c>
      <c r="Z916" s="1" t="s">
        <v>76</v>
      </c>
      <c r="AA916" s="12">
        <v>43378</v>
      </c>
      <c r="AB916" s="1" t="s">
        <v>66</v>
      </c>
      <c r="AC916" s="1" t="s">
        <v>104</v>
      </c>
      <c r="AD916" s="1" t="s">
        <v>105</v>
      </c>
      <c r="AE916" s="1" t="s">
        <v>69</v>
      </c>
      <c r="AG916" s="1">
        <v>8803610</v>
      </c>
    </row>
    <row r="917" spans="3:33" s="1" customFormat="1" x14ac:dyDescent="0.25">
      <c r="C917" s="1" t="s">
        <v>5432</v>
      </c>
      <c r="D917" s="1" t="s">
        <v>5433</v>
      </c>
      <c r="E917" s="1" t="s">
        <v>5434</v>
      </c>
      <c r="F917" s="13" t="s">
        <v>6952</v>
      </c>
      <c r="G917" s="1" t="s">
        <v>5435</v>
      </c>
      <c r="H917" s="1" t="s">
        <v>160</v>
      </c>
      <c r="I917" s="1">
        <v>136</v>
      </c>
      <c r="J917" s="1" t="s">
        <v>46</v>
      </c>
      <c r="M917" s="1" t="s">
        <v>169</v>
      </c>
      <c r="N917" s="1" t="s">
        <v>139</v>
      </c>
      <c r="O917" s="9">
        <v>34</v>
      </c>
      <c r="P917" s="1">
        <f>ROUNDUP(590*(1-$F$3),2)</f>
        <v>590</v>
      </c>
      <c r="Q917" s="1" t="s">
        <v>49</v>
      </c>
      <c r="R917" s="1" t="s">
        <v>5436</v>
      </c>
      <c r="S917" s="1" t="s">
        <v>5437</v>
      </c>
      <c r="T917" s="9">
        <v>10</v>
      </c>
      <c r="U917" s="1">
        <f>ROUNDUP(536.36*(1-$F$3),2)</f>
        <v>536.36</v>
      </c>
      <c r="V917" s="1">
        <v>152</v>
      </c>
      <c r="Y917" s="1" t="s">
        <v>5438</v>
      </c>
      <c r="Z917" s="1" t="s">
        <v>53</v>
      </c>
      <c r="AA917" s="12">
        <v>44747</v>
      </c>
      <c r="AB917" s="1" t="s">
        <v>66</v>
      </c>
      <c r="AC917" s="1" t="s">
        <v>104</v>
      </c>
      <c r="AD917" s="1" t="s">
        <v>105</v>
      </c>
      <c r="AE917" s="1" t="s">
        <v>69</v>
      </c>
      <c r="AG917" s="1">
        <v>10509560</v>
      </c>
    </row>
    <row r="918" spans="3:33" s="1" customFormat="1" x14ac:dyDescent="0.25">
      <c r="C918" s="1" t="s">
        <v>5439</v>
      </c>
      <c r="D918" s="1" t="s">
        <v>5433</v>
      </c>
      <c r="E918" s="1" t="s">
        <v>5440</v>
      </c>
      <c r="F918" s="13" t="s">
        <v>6952</v>
      </c>
      <c r="G918" s="1" t="s">
        <v>5441</v>
      </c>
      <c r="H918" s="1" t="s">
        <v>82</v>
      </c>
      <c r="I918" s="1">
        <v>800</v>
      </c>
      <c r="J918" s="1" t="s">
        <v>46</v>
      </c>
      <c r="M918" s="1" t="s">
        <v>47</v>
      </c>
      <c r="N918" s="1" t="s">
        <v>48</v>
      </c>
      <c r="O918" s="9">
        <v>3</v>
      </c>
      <c r="P918" s="1">
        <f>ROUNDUP(2610*(1-$F$3),2)</f>
        <v>2610</v>
      </c>
      <c r="Q918" s="1" t="s">
        <v>49</v>
      </c>
      <c r="R918" s="1" t="s">
        <v>5442</v>
      </c>
      <c r="S918" s="1" t="s">
        <v>5443</v>
      </c>
      <c r="T918" s="9">
        <v>10</v>
      </c>
      <c r="U918" s="1">
        <f>ROUNDUP(2372.73*(1-$F$3),2)</f>
        <v>2372.73</v>
      </c>
      <c r="V918" s="1">
        <v>889</v>
      </c>
      <c r="Y918" s="1" t="s">
        <v>5444</v>
      </c>
      <c r="Z918" s="1" t="s">
        <v>53</v>
      </c>
      <c r="AA918" s="12">
        <v>45288</v>
      </c>
      <c r="AB918" s="1" t="s">
        <v>66</v>
      </c>
      <c r="AC918" s="1" t="s">
        <v>77</v>
      </c>
      <c r="AD918" s="1" t="s">
        <v>78</v>
      </c>
      <c r="AE918" s="1" t="s">
        <v>69</v>
      </c>
      <c r="AG918" s="1">
        <v>11191690</v>
      </c>
    </row>
    <row r="919" spans="3:33" s="1" customFormat="1" x14ac:dyDescent="0.25">
      <c r="C919" s="1" t="s">
        <v>5445</v>
      </c>
      <c r="D919" s="1" t="s">
        <v>5446</v>
      </c>
      <c r="E919" s="1" t="s">
        <v>5447</v>
      </c>
      <c r="F919" s="13" t="s">
        <v>6952</v>
      </c>
      <c r="G919" s="1" t="s">
        <v>72</v>
      </c>
      <c r="H919" s="1" t="s">
        <v>82</v>
      </c>
      <c r="I919" s="1">
        <v>360</v>
      </c>
      <c r="J919" s="1" t="s">
        <v>46</v>
      </c>
      <c r="M919" s="1" t="s">
        <v>176</v>
      </c>
      <c r="N919" s="1" t="s">
        <v>48</v>
      </c>
      <c r="O919" s="9">
        <v>5</v>
      </c>
      <c r="P919" s="1">
        <f>ROUNDUP(1800*(1-$F$3),2)</f>
        <v>1800</v>
      </c>
      <c r="Q919" s="1" t="s">
        <v>49</v>
      </c>
      <c r="R919" s="1" t="s">
        <v>5448</v>
      </c>
      <c r="S919" s="1" t="s">
        <v>5449</v>
      </c>
      <c r="T919" s="9">
        <v>22</v>
      </c>
      <c r="U919" s="1">
        <f>ROUNDUP(1475.41*(1-$F$3),2)</f>
        <v>1475.41</v>
      </c>
      <c r="V919" s="1">
        <v>918</v>
      </c>
      <c r="Y919" s="1" t="s">
        <v>5450</v>
      </c>
      <c r="Z919" s="1" t="s">
        <v>76</v>
      </c>
      <c r="AA919" s="12">
        <v>45230</v>
      </c>
      <c r="AB919" s="1" t="s">
        <v>66</v>
      </c>
      <c r="AC919" s="1" t="s">
        <v>77</v>
      </c>
      <c r="AD919" s="1" t="s">
        <v>78</v>
      </c>
      <c r="AE919" s="1" t="s">
        <v>69</v>
      </c>
      <c r="AG919" s="1">
        <v>11116450</v>
      </c>
    </row>
    <row r="920" spans="3:33" s="1" customFormat="1" x14ac:dyDescent="0.25">
      <c r="C920" s="1" t="s">
        <v>5451</v>
      </c>
      <c r="D920" s="1" t="s">
        <v>5446</v>
      </c>
      <c r="E920" s="1" t="s">
        <v>5452</v>
      </c>
      <c r="F920" s="13" t="s">
        <v>6952</v>
      </c>
      <c r="G920" s="1" t="s">
        <v>72</v>
      </c>
      <c r="H920" s="1" t="s">
        <v>82</v>
      </c>
      <c r="I920" s="1">
        <v>376</v>
      </c>
      <c r="J920" s="1" t="s">
        <v>46</v>
      </c>
      <c r="M920" s="1" t="s">
        <v>176</v>
      </c>
      <c r="N920" s="1" t="s">
        <v>48</v>
      </c>
      <c r="O920" s="9">
        <v>5</v>
      </c>
      <c r="P920" s="1">
        <f>ROUNDUP(2520*(1-$F$3),2)</f>
        <v>2520</v>
      </c>
      <c r="Q920" s="1" t="s">
        <v>49</v>
      </c>
      <c r="R920" s="1" t="s">
        <v>5453</v>
      </c>
      <c r="S920" s="1" t="s">
        <v>5454</v>
      </c>
      <c r="T920" s="9">
        <v>22</v>
      </c>
      <c r="U920" s="1">
        <f>ROUNDUP(2065.57*(1-$F$3),2)</f>
        <v>2065.5700000000002</v>
      </c>
      <c r="V920" s="1">
        <v>927</v>
      </c>
      <c r="Y920" s="1" t="s">
        <v>5455</v>
      </c>
      <c r="Z920" s="1" t="s">
        <v>76</v>
      </c>
      <c r="AA920" s="12">
        <v>45376</v>
      </c>
      <c r="AB920" s="1" t="s">
        <v>66</v>
      </c>
      <c r="AC920" s="1" t="s">
        <v>77</v>
      </c>
      <c r="AD920" s="1" t="s">
        <v>78</v>
      </c>
      <c r="AE920" s="1" t="s">
        <v>69</v>
      </c>
      <c r="AG920" s="1">
        <v>11260910</v>
      </c>
    </row>
    <row r="921" spans="3:33" s="1" customFormat="1" x14ac:dyDescent="0.25">
      <c r="C921" s="1" t="s">
        <v>5456</v>
      </c>
      <c r="D921" s="1" t="s">
        <v>5446</v>
      </c>
      <c r="E921" s="1" t="s">
        <v>5457</v>
      </c>
      <c r="F921" s="13" t="s">
        <v>6952</v>
      </c>
      <c r="G921" s="1" t="s">
        <v>5458</v>
      </c>
      <c r="H921" s="1" t="s">
        <v>82</v>
      </c>
      <c r="I921" s="1">
        <v>608</v>
      </c>
      <c r="J921" s="1" t="s">
        <v>46</v>
      </c>
      <c r="M921" s="1" t="s">
        <v>176</v>
      </c>
      <c r="N921" s="1" t="s">
        <v>48</v>
      </c>
      <c r="O921" s="9">
        <v>6</v>
      </c>
      <c r="P921" s="1">
        <f>ROUNDUP(1540*(1-$F$3),2)</f>
        <v>1540</v>
      </c>
      <c r="Q921" s="1" t="s">
        <v>49</v>
      </c>
      <c r="R921" s="1" t="s">
        <v>5459</v>
      </c>
      <c r="S921" s="1" t="s">
        <v>5460</v>
      </c>
      <c r="T921" s="9">
        <v>10</v>
      </c>
      <c r="U921" s="1">
        <f>ROUNDUP(1400*(1-$F$3),2)</f>
        <v>1400</v>
      </c>
      <c r="V921" s="1">
        <v>695</v>
      </c>
      <c r="Y921" s="1" t="s">
        <v>5461</v>
      </c>
      <c r="Z921" s="1" t="s">
        <v>53</v>
      </c>
      <c r="AA921" s="12">
        <v>45261</v>
      </c>
      <c r="AB921" s="1" t="s">
        <v>66</v>
      </c>
      <c r="AC921" s="1" t="s">
        <v>77</v>
      </c>
      <c r="AD921" s="1" t="s">
        <v>78</v>
      </c>
      <c r="AE921" s="1" t="s">
        <v>69</v>
      </c>
      <c r="AG921" s="1">
        <v>11155880</v>
      </c>
    </row>
    <row r="922" spans="3:33" s="1" customFormat="1" x14ac:dyDescent="0.25">
      <c r="C922" s="1" t="s">
        <v>5462</v>
      </c>
      <c r="D922" s="1" t="s">
        <v>5446</v>
      </c>
      <c r="E922" s="1" t="s">
        <v>5463</v>
      </c>
      <c r="F922" s="13" t="s">
        <v>6952</v>
      </c>
      <c r="G922" s="1" t="s">
        <v>569</v>
      </c>
      <c r="H922" s="1" t="s">
        <v>61</v>
      </c>
      <c r="I922" s="1">
        <v>432</v>
      </c>
      <c r="J922" s="1" t="s">
        <v>46</v>
      </c>
      <c r="M922" s="1" t="s">
        <v>161</v>
      </c>
      <c r="N922" s="1" t="s">
        <v>48</v>
      </c>
      <c r="O922" s="9">
        <v>8</v>
      </c>
      <c r="P922" s="1">
        <f>ROUNDUP(1420*(1-$F$3),2)</f>
        <v>1420</v>
      </c>
      <c r="Q922" s="1" t="s">
        <v>49</v>
      </c>
      <c r="R922" s="1" t="s">
        <v>5464</v>
      </c>
      <c r="S922" s="1" t="s">
        <v>5465</v>
      </c>
      <c r="T922" s="9">
        <v>10</v>
      </c>
      <c r="U922" s="1">
        <f>ROUNDUP(1290.91*(1-$F$3),2)</f>
        <v>1290.9100000000001</v>
      </c>
      <c r="V922" s="1">
        <v>554</v>
      </c>
      <c r="Y922" s="1" t="s">
        <v>5466</v>
      </c>
      <c r="Z922" s="1" t="s">
        <v>53</v>
      </c>
      <c r="AA922" s="12">
        <v>45153</v>
      </c>
      <c r="AB922" s="1" t="s">
        <v>66</v>
      </c>
      <c r="AC922" s="1" t="s">
        <v>77</v>
      </c>
      <c r="AD922" s="1" t="s">
        <v>78</v>
      </c>
      <c r="AE922" s="1" t="s">
        <v>69</v>
      </c>
      <c r="AG922" s="1">
        <v>11003020</v>
      </c>
    </row>
    <row r="923" spans="3:33" s="1" customFormat="1" x14ac:dyDescent="0.25">
      <c r="C923" s="1" t="s">
        <v>5467</v>
      </c>
      <c r="D923" s="1" t="s">
        <v>5446</v>
      </c>
      <c r="E923" s="1" t="s">
        <v>1505</v>
      </c>
      <c r="F923" s="13" t="s">
        <v>6952</v>
      </c>
      <c r="G923" s="1" t="s">
        <v>569</v>
      </c>
      <c r="H923" s="1" t="s">
        <v>61</v>
      </c>
      <c r="I923" s="1">
        <v>368</v>
      </c>
      <c r="J923" s="1" t="s">
        <v>46</v>
      </c>
      <c r="M923" s="1" t="s">
        <v>161</v>
      </c>
      <c r="N923" s="1" t="s">
        <v>48</v>
      </c>
      <c r="O923" s="9">
        <v>10</v>
      </c>
      <c r="P923" s="1">
        <f>ROUNDUP(1280*(1-$F$3),2)</f>
        <v>1280</v>
      </c>
      <c r="Q923" s="1" t="s">
        <v>49</v>
      </c>
      <c r="R923" s="1" t="s">
        <v>5468</v>
      </c>
      <c r="S923" s="1" t="s">
        <v>5469</v>
      </c>
      <c r="T923" s="9">
        <v>10</v>
      </c>
      <c r="U923" s="1">
        <f>ROUNDUP(1163.64*(1-$F$3),2)</f>
        <v>1163.6400000000001</v>
      </c>
      <c r="V923" s="1">
        <v>483</v>
      </c>
      <c r="Y923" s="1" t="s">
        <v>1508</v>
      </c>
      <c r="Z923" s="1" t="s">
        <v>53</v>
      </c>
      <c r="AA923" s="12">
        <v>45153</v>
      </c>
      <c r="AB923" s="1" t="s">
        <v>66</v>
      </c>
      <c r="AC923" s="1" t="s">
        <v>77</v>
      </c>
      <c r="AD923" s="1" t="s">
        <v>78</v>
      </c>
      <c r="AE923" s="1" t="s">
        <v>69</v>
      </c>
      <c r="AG923" s="1">
        <v>11002840</v>
      </c>
    </row>
    <row r="924" spans="3:33" s="1" customFormat="1" x14ac:dyDescent="0.25">
      <c r="C924" s="1" t="s">
        <v>5470</v>
      </c>
      <c r="D924" s="1" t="s">
        <v>5471</v>
      </c>
      <c r="E924" s="1" t="s">
        <v>5472</v>
      </c>
      <c r="F924" s="13" t="s">
        <v>6952</v>
      </c>
      <c r="G924" s="1" t="s">
        <v>5473</v>
      </c>
      <c r="H924" s="1" t="s">
        <v>61</v>
      </c>
      <c r="I924" s="1">
        <v>368</v>
      </c>
      <c r="J924" s="1" t="s">
        <v>46</v>
      </c>
      <c r="M924" s="1" t="s">
        <v>169</v>
      </c>
      <c r="N924" s="1" t="s">
        <v>48</v>
      </c>
      <c r="O924" s="9">
        <v>10</v>
      </c>
      <c r="P924" s="1">
        <f>ROUNDUP(1100*(1-$F$3),2)</f>
        <v>1100</v>
      </c>
      <c r="Q924" s="1" t="s">
        <v>49</v>
      </c>
      <c r="R924" s="1" t="s">
        <v>5474</v>
      </c>
      <c r="S924" s="1" t="s">
        <v>5475</v>
      </c>
      <c r="T924" s="9">
        <v>10</v>
      </c>
      <c r="U924" s="1">
        <f>ROUNDUP(1000*(1-$F$3),2)</f>
        <v>1000</v>
      </c>
      <c r="V924" s="1">
        <v>534</v>
      </c>
      <c r="Y924" s="1" t="s">
        <v>5476</v>
      </c>
      <c r="Z924" s="1" t="s">
        <v>76</v>
      </c>
      <c r="AA924" s="12">
        <v>44512</v>
      </c>
      <c r="AB924" s="1" t="s">
        <v>66</v>
      </c>
      <c r="AC924" s="1" t="s">
        <v>120</v>
      </c>
      <c r="AD924" s="1" t="s">
        <v>121</v>
      </c>
      <c r="AE924" s="1" t="s">
        <v>69</v>
      </c>
      <c r="AG924" s="1">
        <v>9972830</v>
      </c>
    </row>
    <row r="925" spans="3:33" s="1" customFormat="1" x14ac:dyDescent="0.25">
      <c r="C925" s="1" t="s">
        <v>5477</v>
      </c>
      <c r="D925" s="1" t="s">
        <v>5471</v>
      </c>
      <c r="E925" s="1" t="s">
        <v>5478</v>
      </c>
      <c r="F925" s="13" t="s">
        <v>6952</v>
      </c>
      <c r="G925" s="1" t="s">
        <v>5479</v>
      </c>
      <c r="H925" s="1" t="s">
        <v>61</v>
      </c>
      <c r="I925" s="1">
        <v>448</v>
      </c>
      <c r="J925" s="1" t="s">
        <v>46</v>
      </c>
      <c r="M925" s="1" t="s">
        <v>169</v>
      </c>
      <c r="N925" s="1" t="s">
        <v>48</v>
      </c>
      <c r="O925" s="9">
        <v>10</v>
      </c>
      <c r="P925" s="1">
        <f>ROUNDUP(1390*(1-$F$3),2)</f>
        <v>1390</v>
      </c>
      <c r="Q925" s="1" t="s">
        <v>49</v>
      </c>
      <c r="R925" s="1" t="s">
        <v>5480</v>
      </c>
      <c r="S925" s="1" t="s">
        <v>5481</v>
      </c>
      <c r="T925" s="9">
        <v>10</v>
      </c>
      <c r="U925" s="1">
        <f>ROUNDUP(1263.64*(1-$F$3),2)</f>
        <v>1263.6400000000001</v>
      </c>
      <c r="V925" s="1">
        <v>507</v>
      </c>
      <c r="Y925" s="1" t="s">
        <v>5482</v>
      </c>
      <c r="Z925" s="1" t="s">
        <v>53</v>
      </c>
      <c r="AA925" s="12">
        <v>44506</v>
      </c>
      <c r="AB925" s="1" t="s">
        <v>66</v>
      </c>
      <c r="AC925" s="1" t="s">
        <v>120</v>
      </c>
      <c r="AD925" s="1" t="s">
        <v>121</v>
      </c>
      <c r="AE925" s="1" t="s">
        <v>69</v>
      </c>
      <c r="AG925" s="1">
        <v>9975250</v>
      </c>
    </row>
    <row r="926" spans="3:33" s="1" customFormat="1" x14ac:dyDescent="0.25">
      <c r="C926" s="1" t="s">
        <v>5483</v>
      </c>
      <c r="D926" s="1" t="s">
        <v>5471</v>
      </c>
      <c r="E926" s="1" t="s">
        <v>5484</v>
      </c>
      <c r="F926" s="13" t="s">
        <v>6952</v>
      </c>
      <c r="G926" s="1" t="s">
        <v>5485</v>
      </c>
      <c r="H926" s="1" t="s">
        <v>61</v>
      </c>
      <c r="I926" s="1">
        <v>352</v>
      </c>
      <c r="J926" s="1" t="s">
        <v>46</v>
      </c>
      <c r="M926" s="1" t="s">
        <v>756</v>
      </c>
      <c r="N926" s="1" t="s">
        <v>48</v>
      </c>
      <c r="O926" s="9">
        <v>12</v>
      </c>
      <c r="P926" s="1">
        <f>ROUNDUP(1240*(1-$F$3),2)</f>
        <v>1240</v>
      </c>
      <c r="Q926" s="1" t="s">
        <v>49</v>
      </c>
      <c r="R926" s="1" t="s">
        <v>5486</v>
      </c>
      <c r="S926" s="1" t="s">
        <v>5487</v>
      </c>
      <c r="T926" s="9">
        <v>10</v>
      </c>
      <c r="U926" s="1">
        <f>ROUNDUP(1127.27*(1-$F$3),2)</f>
        <v>1127.27</v>
      </c>
      <c r="V926" s="1">
        <v>441</v>
      </c>
      <c r="Y926" s="1" t="s">
        <v>5488</v>
      </c>
      <c r="Z926" s="1" t="s">
        <v>76</v>
      </c>
      <c r="AA926" s="12">
        <v>44366</v>
      </c>
      <c r="AB926" s="1" t="s">
        <v>66</v>
      </c>
      <c r="AC926" s="1" t="s">
        <v>120</v>
      </c>
      <c r="AD926" s="1" t="s">
        <v>121</v>
      </c>
      <c r="AE926" s="1" t="s">
        <v>69</v>
      </c>
      <c r="AG926" s="1">
        <v>9680970</v>
      </c>
    </row>
    <row r="927" spans="3:33" s="1" customFormat="1" x14ac:dyDescent="0.25">
      <c r="C927" s="1" t="s">
        <v>5489</v>
      </c>
      <c r="D927" s="1" t="s">
        <v>5490</v>
      </c>
      <c r="E927" s="1" t="s">
        <v>5491</v>
      </c>
      <c r="F927" s="13" t="s">
        <v>6952</v>
      </c>
      <c r="G927" s="1" t="s">
        <v>5492</v>
      </c>
      <c r="H927" s="1" t="s">
        <v>160</v>
      </c>
      <c r="I927" s="1">
        <v>620</v>
      </c>
      <c r="J927" s="1" t="s">
        <v>46</v>
      </c>
      <c r="M927" s="1" t="s">
        <v>987</v>
      </c>
      <c r="N927" s="1" t="s">
        <v>48</v>
      </c>
      <c r="O927" s="9">
        <v>8</v>
      </c>
      <c r="P927" s="1">
        <f>ROUNDUP(1380*(1-$F$3),2)</f>
        <v>1380</v>
      </c>
      <c r="Q927" s="1" t="s">
        <v>49</v>
      </c>
      <c r="R927" s="1" t="s">
        <v>5493</v>
      </c>
      <c r="S927" s="1" t="s">
        <v>5494</v>
      </c>
      <c r="T927" s="9">
        <v>10</v>
      </c>
      <c r="U927" s="1">
        <f>ROUNDUP(1254.55*(1-$F$3),2)</f>
        <v>1254.55</v>
      </c>
      <c r="V927" s="1">
        <v>627</v>
      </c>
      <c r="Y927" s="1" t="s">
        <v>5495</v>
      </c>
      <c r="Z927" s="1" t="s">
        <v>53</v>
      </c>
      <c r="AA927" s="12">
        <v>42760</v>
      </c>
      <c r="AB927" s="1" t="s">
        <v>66</v>
      </c>
      <c r="AC927" s="1" t="s">
        <v>77</v>
      </c>
      <c r="AD927" s="1" t="s">
        <v>78</v>
      </c>
      <c r="AE927" s="1" t="s">
        <v>49</v>
      </c>
      <c r="AG927" s="1">
        <v>7970990</v>
      </c>
    </row>
    <row r="928" spans="3:33" s="1" customFormat="1" x14ac:dyDescent="0.25">
      <c r="C928" s="1" t="s">
        <v>5496</v>
      </c>
      <c r="D928" s="1" t="s">
        <v>5490</v>
      </c>
      <c r="E928" s="1" t="s">
        <v>5497</v>
      </c>
      <c r="F928" s="13" t="s">
        <v>6952</v>
      </c>
      <c r="G928" s="1" t="s">
        <v>5498</v>
      </c>
      <c r="H928" s="1" t="s">
        <v>61</v>
      </c>
      <c r="I928" s="1">
        <v>156</v>
      </c>
      <c r="J928" s="1" t="s">
        <v>46</v>
      </c>
      <c r="M928" s="1" t="s">
        <v>3298</v>
      </c>
      <c r="N928" s="1" t="s">
        <v>48</v>
      </c>
      <c r="O928" s="9">
        <v>20</v>
      </c>
      <c r="P928" s="1">
        <f>ROUNDUP(520*(1-$F$3),2)</f>
        <v>520</v>
      </c>
      <c r="Q928" s="1" t="s">
        <v>49</v>
      </c>
      <c r="R928" s="1" t="s">
        <v>5499</v>
      </c>
      <c r="S928" s="1" t="s">
        <v>5500</v>
      </c>
      <c r="T928" s="9">
        <v>10</v>
      </c>
      <c r="U928" s="1">
        <f>ROUNDUP(472.73*(1-$F$3),2)</f>
        <v>472.73</v>
      </c>
      <c r="V928" s="1">
        <v>314</v>
      </c>
      <c r="Y928" s="1" t="s">
        <v>5501</v>
      </c>
      <c r="Z928" s="1" t="s">
        <v>53</v>
      </c>
      <c r="AA928" s="12">
        <v>42366</v>
      </c>
      <c r="AB928" s="1" t="s">
        <v>95</v>
      </c>
      <c r="AC928" s="1" t="s">
        <v>112</v>
      </c>
      <c r="AD928" s="1" t="s">
        <v>1795</v>
      </c>
      <c r="AE928" s="1" t="s">
        <v>49</v>
      </c>
      <c r="AG928" s="1">
        <v>7349150</v>
      </c>
    </row>
    <row r="929" spans="3:33" s="1" customFormat="1" x14ac:dyDescent="0.25">
      <c r="C929" s="1" t="s">
        <v>5502</v>
      </c>
      <c r="D929" s="1" t="s">
        <v>5490</v>
      </c>
      <c r="E929" s="1" t="s">
        <v>5503</v>
      </c>
      <c r="F929" s="13" t="s">
        <v>6952</v>
      </c>
      <c r="G929" s="1" t="s">
        <v>5504</v>
      </c>
      <c r="H929" s="1" t="s">
        <v>61</v>
      </c>
      <c r="I929" s="1">
        <v>204</v>
      </c>
      <c r="J929" s="1" t="s">
        <v>46</v>
      </c>
      <c r="M929" s="1" t="s">
        <v>2310</v>
      </c>
      <c r="N929" s="1" t="s">
        <v>48</v>
      </c>
      <c r="O929" s="9">
        <v>14</v>
      </c>
      <c r="P929" s="1">
        <f>ROUNDUP(853.5*(1-$F$3),2)</f>
        <v>853.5</v>
      </c>
      <c r="Q929" s="1" t="s">
        <v>49</v>
      </c>
      <c r="R929" s="1" t="s">
        <v>5505</v>
      </c>
      <c r="S929" s="1" t="s">
        <v>5506</v>
      </c>
      <c r="T929" s="9">
        <v>10</v>
      </c>
      <c r="U929" s="1">
        <f>ROUNDUP(775.91*(1-$F$3),2)</f>
        <v>775.91</v>
      </c>
      <c r="V929" s="1">
        <v>323</v>
      </c>
      <c r="Y929" s="1" t="s">
        <v>5507</v>
      </c>
      <c r="Z929" s="1" t="s">
        <v>128</v>
      </c>
      <c r="AA929" s="12">
        <v>43171</v>
      </c>
      <c r="AB929" s="1" t="s">
        <v>66</v>
      </c>
      <c r="AC929" s="1" t="s">
        <v>77</v>
      </c>
      <c r="AD929" s="1" t="s">
        <v>78</v>
      </c>
      <c r="AE929" s="1" t="s">
        <v>69</v>
      </c>
      <c r="AG929" s="1">
        <v>8558730</v>
      </c>
    </row>
    <row r="930" spans="3:33" s="1" customFormat="1" x14ac:dyDescent="0.25">
      <c r="C930" s="1" t="s">
        <v>5508</v>
      </c>
      <c r="D930" s="1" t="s">
        <v>5490</v>
      </c>
      <c r="E930" s="1" t="s">
        <v>5509</v>
      </c>
      <c r="F930" s="13" t="s">
        <v>6952</v>
      </c>
      <c r="G930" s="1" t="s">
        <v>5510</v>
      </c>
      <c r="H930" s="1" t="s">
        <v>61</v>
      </c>
      <c r="I930" s="1">
        <v>536</v>
      </c>
      <c r="J930" s="1" t="s">
        <v>46</v>
      </c>
      <c r="M930" s="1" t="s">
        <v>987</v>
      </c>
      <c r="N930" s="1" t="s">
        <v>48</v>
      </c>
      <c r="O930" s="9">
        <v>8</v>
      </c>
      <c r="P930" s="1">
        <f>ROUNDUP(1310*(1-$F$3),2)</f>
        <v>1310</v>
      </c>
      <c r="Q930" s="1" t="s">
        <v>49</v>
      </c>
      <c r="R930" s="1" t="s">
        <v>5511</v>
      </c>
      <c r="S930" s="1" t="s">
        <v>5512</v>
      </c>
      <c r="T930" s="9">
        <v>10</v>
      </c>
      <c r="U930" s="1">
        <f>ROUNDUP(1190.91*(1-$F$3),2)</f>
        <v>1190.9100000000001</v>
      </c>
      <c r="V930" s="1">
        <v>621</v>
      </c>
      <c r="Y930" s="1" t="s">
        <v>5513</v>
      </c>
      <c r="Z930" s="1" t="s">
        <v>53</v>
      </c>
      <c r="AA930" s="12">
        <v>42766</v>
      </c>
      <c r="AB930" s="1" t="s">
        <v>66</v>
      </c>
      <c r="AC930" s="1" t="s">
        <v>77</v>
      </c>
      <c r="AD930" s="1" t="s">
        <v>78</v>
      </c>
      <c r="AE930" s="1" t="s">
        <v>49</v>
      </c>
      <c r="AG930" s="1">
        <v>7971010</v>
      </c>
    </row>
    <row r="931" spans="3:33" s="1" customFormat="1" x14ac:dyDescent="0.25">
      <c r="C931" s="1" t="s">
        <v>5514</v>
      </c>
      <c r="D931" s="1" t="s">
        <v>5490</v>
      </c>
      <c r="E931" s="1" t="s">
        <v>5515</v>
      </c>
      <c r="F931" s="13" t="s">
        <v>6952</v>
      </c>
      <c r="G931" s="1" t="s">
        <v>5516</v>
      </c>
      <c r="H931" s="1" t="s">
        <v>61</v>
      </c>
      <c r="I931" s="1">
        <v>208</v>
      </c>
      <c r="J931" s="1" t="s">
        <v>46</v>
      </c>
      <c r="M931" s="1" t="s">
        <v>4576</v>
      </c>
      <c r="N931" s="1" t="s">
        <v>48</v>
      </c>
      <c r="O931" s="9">
        <v>18</v>
      </c>
      <c r="P931" s="1">
        <f>ROUNDUP(292.6*(1-$F$3),2)</f>
        <v>292.60000000000002</v>
      </c>
      <c r="Q931" s="1" t="s">
        <v>49</v>
      </c>
      <c r="R931" s="1" t="s">
        <v>5517</v>
      </c>
      <c r="S931" s="1" t="s">
        <v>5518</v>
      </c>
      <c r="T931" s="9">
        <v>10</v>
      </c>
      <c r="U931" s="1">
        <f>ROUNDUP(266*(1-$F$3),2)</f>
        <v>266</v>
      </c>
      <c r="V931" s="1">
        <v>381</v>
      </c>
      <c r="W931" s="1" t="s">
        <v>2313</v>
      </c>
      <c r="X931" s="1" t="s">
        <v>2314</v>
      </c>
      <c r="Y931" s="1" t="s">
        <v>5519</v>
      </c>
      <c r="Z931" s="1" t="s">
        <v>53</v>
      </c>
      <c r="AA931" s="12">
        <v>42247</v>
      </c>
      <c r="AB931" s="1" t="s">
        <v>66</v>
      </c>
      <c r="AC931" s="1" t="s">
        <v>77</v>
      </c>
      <c r="AD931" s="1" t="s">
        <v>78</v>
      </c>
      <c r="AE931" s="1" t="s">
        <v>49</v>
      </c>
      <c r="AG931" s="1">
        <v>7106920</v>
      </c>
    </row>
    <row r="932" spans="3:33" s="1" customFormat="1" x14ac:dyDescent="0.25">
      <c r="C932" s="1" t="s">
        <v>5520</v>
      </c>
      <c r="D932" s="1" t="s">
        <v>5490</v>
      </c>
      <c r="E932" s="1" t="s">
        <v>5521</v>
      </c>
      <c r="F932" s="13" t="s">
        <v>6952</v>
      </c>
      <c r="G932" s="1" t="s">
        <v>5522</v>
      </c>
      <c r="H932" s="1" t="s">
        <v>61</v>
      </c>
      <c r="I932" s="1">
        <v>400</v>
      </c>
      <c r="J932" s="1" t="s">
        <v>46</v>
      </c>
      <c r="M932" s="1" t="s">
        <v>3298</v>
      </c>
      <c r="N932" s="1" t="s">
        <v>139</v>
      </c>
      <c r="O932" s="9">
        <v>12</v>
      </c>
      <c r="P932" s="1">
        <f>ROUNDUP(860*(1-$F$3),2)</f>
        <v>860</v>
      </c>
      <c r="Q932" s="1" t="s">
        <v>49</v>
      </c>
      <c r="R932" s="1" t="s">
        <v>5523</v>
      </c>
      <c r="S932" s="1" t="s">
        <v>5524</v>
      </c>
      <c r="T932" s="9">
        <v>10</v>
      </c>
      <c r="U932" s="1">
        <f>ROUNDUP(781.82*(1-$F$3),2)</f>
        <v>781.82</v>
      </c>
      <c r="V932" s="1">
        <v>515</v>
      </c>
      <c r="Y932" s="1" t="s">
        <v>5525</v>
      </c>
      <c r="Z932" s="1" t="s">
        <v>53</v>
      </c>
      <c r="AA932" s="12">
        <v>42586</v>
      </c>
      <c r="AB932" s="1" t="s">
        <v>66</v>
      </c>
      <c r="AC932" s="1" t="s">
        <v>77</v>
      </c>
      <c r="AD932" s="1" t="s">
        <v>78</v>
      </c>
      <c r="AE932" s="1" t="s">
        <v>49</v>
      </c>
      <c r="AG932" s="1">
        <v>7680150</v>
      </c>
    </row>
    <row r="933" spans="3:33" s="1" customFormat="1" x14ac:dyDescent="0.25">
      <c r="C933" s="1" t="s">
        <v>5526</v>
      </c>
      <c r="D933" s="1" t="s">
        <v>5527</v>
      </c>
      <c r="E933" s="1" t="s">
        <v>5528</v>
      </c>
      <c r="F933" s="13" t="s">
        <v>6952</v>
      </c>
      <c r="G933" s="1" t="s">
        <v>5529</v>
      </c>
      <c r="H933" s="1" t="s">
        <v>61</v>
      </c>
      <c r="I933" s="1">
        <v>352</v>
      </c>
      <c r="J933" s="1" t="s">
        <v>46</v>
      </c>
      <c r="M933" s="1" t="s">
        <v>2310</v>
      </c>
      <c r="N933" s="1" t="s">
        <v>48</v>
      </c>
      <c r="O933" s="9">
        <v>12</v>
      </c>
      <c r="P933" s="1">
        <f>ROUNDUP(1500*(1-$F$3),2)</f>
        <v>1500</v>
      </c>
      <c r="Q933" s="1" t="s">
        <v>49</v>
      </c>
      <c r="R933" s="1" t="s">
        <v>5530</v>
      </c>
      <c r="S933" s="1" t="s">
        <v>5531</v>
      </c>
      <c r="T933" s="9">
        <v>10</v>
      </c>
      <c r="U933" s="1">
        <f>ROUNDUP(1363.64*(1-$F$3),2)</f>
        <v>1363.64</v>
      </c>
      <c r="V933" s="1">
        <v>569</v>
      </c>
      <c r="Y933" s="1" t="s">
        <v>5532</v>
      </c>
      <c r="Z933" s="1" t="s">
        <v>53</v>
      </c>
      <c r="AA933" s="12">
        <v>43253</v>
      </c>
      <c r="AB933" s="1" t="s">
        <v>5533</v>
      </c>
      <c r="AC933" s="1" t="s">
        <v>5534</v>
      </c>
      <c r="AD933" s="1" t="s">
        <v>5535</v>
      </c>
      <c r="AE933" s="1" t="s">
        <v>69</v>
      </c>
      <c r="AG933" s="1">
        <v>8612600</v>
      </c>
    </row>
    <row r="934" spans="3:33" s="1" customFormat="1" x14ac:dyDescent="0.25">
      <c r="C934" s="1" t="s">
        <v>5536</v>
      </c>
      <c r="D934" s="1" t="s">
        <v>5537</v>
      </c>
      <c r="E934" s="1" t="s">
        <v>5538</v>
      </c>
      <c r="F934" s="13" t="s">
        <v>6952</v>
      </c>
      <c r="G934" s="1" t="s">
        <v>569</v>
      </c>
      <c r="H934" s="1" t="s">
        <v>724</v>
      </c>
      <c r="I934" s="1">
        <v>248</v>
      </c>
      <c r="J934" s="1" t="s">
        <v>46</v>
      </c>
      <c r="M934" s="1" t="s">
        <v>161</v>
      </c>
      <c r="N934" s="1" t="s">
        <v>48</v>
      </c>
      <c r="O934" s="9">
        <v>6</v>
      </c>
      <c r="P934" s="1">
        <f>ROUNDUP(1020*(1-$F$3),2)</f>
        <v>1020</v>
      </c>
      <c r="Q934" s="1" t="s">
        <v>49</v>
      </c>
      <c r="R934" s="1" t="s">
        <v>5539</v>
      </c>
      <c r="S934" s="1" t="s">
        <v>5540</v>
      </c>
      <c r="T934" s="9">
        <v>10</v>
      </c>
      <c r="U934" s="1">
        <f>ROUNDUP(927.27*(1-$F$3),2)</f>
        <v>927.27</v>
      </c>
      <c r="V934" s="1">
        <v>855</v>
      </c>
      <c r="Y934" s="1" t="s">
        <v>5541</v>
      </c>
      <c r="Z934" s="1" t="s">
        <v>711</v>
      </c>
      <c r="AA934" s="12">
        <v>45126</v>
      </c>
      <c r="AB934" s="1" t="s">
        <v>573</v>
      </c>
      <c r="AC934" s="1" t="s">
        <v>1439</v>
      </c>
      <c r="AD934" s="1" t="s">
        <v>5542</v>
      </c>
      <c r="AE934" s="1" t="s">
        <v>69</v>
      </c>
      <c r="AG934" s="1">
        <v>10947170</v>
      </c>
    </row>
    <row r="935" spans="3:33" s="1" customFormat="1" x14ac:dyDescent="0.25">
      <c r="C935" s="1" t="s">
        <v>5543</v>
      </c>
      <c r="D935" s="1" t="s">
        <v>5537</v>
      </c>
      <c r="E935" s="1" t="s">
        <v>5544</v>
      </c>
      <c r="F935" s="13" t="s">
        <v>6952</v>
      </c>
      <c r="G935" s="1" t="s">
        <v>569</v>
      </c>
      <c r="H935" s="1" t="s">
        <v>724</v>
      </c>
      <c r="I935" s="1">
        <v>96</v>
      </c>
      <c r="J935" s="1" t="s">
        <v>46</v>
      </c>
      <c r="M935" s="1" t="s">
        <v>161</v>
      </c>
      <c r="N935" s="1" t="s">
        <v>48</v>
      </c>
      <c r="O935" s="9">
        <v>10</v>
      </c>
      <c r="P935" s="1">
        <f>ROUNDUP(760*(1-$F$3),2)</f>
        <v>760</v>
      </c>
      <c r="Q935" s="1" t="s">
        <v>49</v>
      </c>
      <c r="R935" s="1" t="s">
        <v>5545</v>
      </c>
      <c r="S935" s="1" t="s">
        <v>5546</v>
      </c>
      <c r="T935" s="9">
        <v>10</v>
      </c>
      <c r="U935" s="1">
        <f>ROUNDUP(690.91*(1-$F$3),2)</f>
        <v>690.91</v>
      </c>
      <c r="V935" s="1">
        <v>453</v>
      </c>
      <c r="Y935" s="1" t="s">
        <v>5547</v>
      </c>
      <c r="Z935" s="1" t="s">
        <v>711</v>
      </c>
      <c r="AA935" s="12">
        <v>45126</v>
      </c>
      <c r="AB935" s="1" t="s">
        <v>573</v>
      </c>
      <c r="AC935" s="1" t="s">
        <v>66</v>
      </c>
      <c r="AD935" s="1" t="s">
        <v>712</v>
      </c>
      <c r="AE935" s="1" t="s">
        <v>69</v>
      </c>
      <c r="AG935" s="1">
        <v>10945520</v>
      </c>
    </row>
    <row r="936" spans="3:33" s="1" customFormat="1" x14ac:dyDescent="0.25">
      <c r="C936" s="1" t="s">
        <v>5548</v>
      </c>
      <c r="D936" s="1" t="s">
        <v>5549</v>
      </c>
      <c r="E936" s="1" t="s">
        <v>5550</v>
      </c>
      <c r="F936" s="13" t="s">
        <v>6952</v>
      </c>
      <c r="G936" s="1" t="s">
        <v>5551</v>
      </c>
      <c r="H936" s="1" t="s">
        <v>61</v>
      </c>
      <c r="I936" s="1">
        <v>448</v>
      </c>
      <c r="J936" s="1" t="s">
        <v>46</v>
      </c>
      <c r="M936" s="1" t="s">
        <v>169</v>
      </c>
      <c r="N936" s="1" t="s">
        <v>48</v>
      </c>
      <c r="O936" s="9">
        <v>10</v>
      </c>
      <c r="P936" s="1">
        <f>ROUNDUP(1580*(1-$F$3),2)</f>
        <v>1580</v>
      </c>
      <c r="Q936" s="1" t="s">
        <v>49</v>
      </c>
      <c r="R936" s="1" t="s">
        <v>5552</v>
      </c>
      <c r="S936" s="1" t="s">
        <v>5553</v>
      </c>
      <c r="T936" s="9">
        <v>10</v>
      </c>
      <c r="U936" s="1">
        <f>ROUNDUP(1436.36*(1-$F$3),2)</f>
        <v>1436.36</v>
      </c>
      <c r="V936" s="1">
        <v>577</v>
      </c>
      <c r="Y936" s="1" t="s">
        <v>5554</v>
      </c>
      <c r="Z936" s="1" t="s">
        <v>128</v>
      </c>
      <c r="AA936" s="12">
        <v>44718</v>
      </c>
      <c r="AB936" s="1" t="s">
        <v>66</v>
      </c>
      <c r="AC936" s="1" t="s">
        <v>67</v>
      </c>
      <c r="AD936" s="1" t="s">
        <v>68</v>
      </c>
      <c r="AE936" s="1" t="s">
        <v>69</v>
      </c>
      <c r="AG936" s="1">
        <v>10480080</v>
      </c>
    </row>
    <row r="937" spans="3:33" s="1" customFormat="1" x14ac:dyDescent="0.25">
      <c r="C937" s="1" t="s">
        <v>5555</v>
      </c>
      <c r="D937" s="1" t="s">
        <v>5549</v>
      </c>
      <c r="E937" s="1" t="s">
        <v>5556</v>
      </c>
      <c r="F937" s="13" t="s">
        <v>6952</v>
      </c>
      <c r="G937" s="1" t="s">
        <v>5551</v>
      </c>
      <c r="H937" s="1" t="s">
        <v>61</v>
      </c>
      <c r="I937" s="1">
        <v>432</v>
      </c>
      <c r="J937" s="1" t="s">
        <v>46</v>
      </c>
      <c r="M937" s="1" t="s">
        <v>169</v>
      </c>
      <c r="N937" s="1" t="s">
        <v>48</v>
      </c>
      <c r="O937" s="9">
        <v>10</v>
      </c>
      <c r="P937" s="1">
        <f>ROUNDUP(1710*(1-$F$3),2)</f>
        <v>1710</v>
      </c>
      <c r="Q937" s="1" t="s">
        <v>49</v>
      </c>
      <c r="R937" s="1" t="s">
        <v>5557</v>
      </c>
      <c r="S937" s="1" t="s">
        <v>5558</v>
      </c>
      <c r="T937" s="9">
        <v>10</v>
      </c>
      <c r="U937" s="1">
        <f>ROUNDUP(1554.55*(1-$F$3),2)</f>
        <v>1554.55</v>
      </c>
      <c r="V937" s="1">
        <v>543</v>
      </c>
      <c r="Y937" s="1" t="s">
        <v>5559</v>
      </c>
      <c r="Z937" s="1" t="s">
        <v>128</v>
      </c>
      <c r="AA937" s="12">
        <v>44686</v>
      </c>
      <c r="AB937" s="1" t="s">
        <v>66</v>
      </c>
      <c r="AC937" s="1" t="s">
        <v>499</v>
      </c>
      <c r="AD937" s="1" t="s">
        <v>500</v>
      </c>
      <c r="AE937" s="1" t="s">
        <v>69</v>
      </c>
      <c r="AG937" s="1">
        <v>10409650</v>
      </c>
    </row>
    <row r="938" spans="3:33" s="1" customFormat="1" x14ac:dyDescent="0.25">
      <c r="C938" s="1" t="s">
        <v>5560</v>
      </c>
      <c r="D938" s="1" t="s">
        <v>5549</v>
      </c>
      <c r="E938" s="1" t="s">
        <v>5561</v>
      </c>
      <c r="F938" s="13" t="s">
        <v>6952</v>
      </c>
      <c r="G938" s="1" t="s">
        <v>5562</v>
      </c>
      <c r="H938" s="1" t="s">
        <v>61</v>
      </c>
      <c r="I938" s="1">
        <v>144</v>
      </c>
      <c r="J938" s="1" t="s">
        <v>46</v>
      </c>
      <c r="M938" s="1" t="s">
        <v>169</v>
      </c>
      <c r="N938" s="1" t="s">
        <v>48</v>
      </c>
      <c r="O938" s="9">
        <v>22</v>
      </c>
      <c r="P938" s="1">
        <f>ROUNDUP(890*(1-$F$3),2)</f>
        <v>890</v>
      </c>
      <c r="Q938" s="1" t="s">
        <v>49</v>
      </c>
      <c r="R938" s="1" t="s">
        <v>5563</v>
      </c>
      <c r="S938" s="1" t="s">
        <v>5564</v>
      </c>
      <c r="T938" s="9">
        <v>10</v>
      </c>
      <c r="U938" s="1">
        <f>ROUNDUP(809.09*(1-$F$3),2)</f>
        <v>809.09</v>
      </c>
      <c r="V938" s="1">
        <v>261</v>
      </c>
      <c r="Y938" s="1" t="s">
        <v>2726</v>
      </c>
      <c r="Z938" s="1" t="s">
        <v>711</v>
      </c>
      <c r="AA938" s="12">
        <v>44692</v>
      </c>
      <c r="AB938" s="1" t="s">
        <v>573</v>
      </c>
      <c r="AC938" s="1" t="s">
        <v>66</v>
      </c>
      <c r="AD938" s="1" t="s">
        <v>712</v>
      </c>
      <c r="AE938" s="1" t="s">
        <v>69</v>
      </c>
      <c r="AG938" s="1">
        <v>10455400</v>
      </c>
    </row>
    <row r="939" spans="3:33" s="1" customFormat="1" x14ac:dyDescent="0.25">
      <c r="C939" s="1" t="s">
        <v>5565</v>
      </c>
      <c r="D939" s="1" t="s">
        <v>5549</v>
      </c>
      <c r="E939" s="1" t="s">
        <v>5566</v>
      </c>
      <c r="F939" s="13" t="s">
        <v>6952</v>
      </c>
      <c r="G939" s="1" t="s">
        <v>5567</v>
      </c>
      <c r="H939" s="1" t="s">
        <v>61</v>
      </c>
      <c r="I939" s="1">
        <v>304</v>
      </c>
      <c r="J939" s="1" t="s">
        <v>46</v>
      </c>
      <c r="M939" s="1" t="s">
        <v>169</v>
      </c>
      <c r="N939" s="1" t="s">
        <v>48</v>
      </c>
      <c r="O939" s="9">
        <v>14</v>
      </c>
      <c r="P939" s="1">
        <f>ROUNDUP(1030*(1-$F$3),2)</f>
        <v>1030</v>
      </c>
      <c r="Q939" s="1" t="s">
        <v>49</v>
      </c>
      <c r="R939" s="1" t="s">
        <v>5568</v>
      </c>
      <c r="S939" s="1" t="s">
        <v>5569</v>
      </c>
      <c r="T939" s="9">
        <v>10</v>
      </c>
      <c r="U939" s="1">
        <f>ROUNDUP(936.36*(1-$F$3),2)</f>
        <v>936.36</v>
      </c>
      <c r="V939" s="1">
        <v>425</v>
      </c>
      <c r="Y939" s="1" t="s">
        <v>5570</v>
      </c>
      <c r="Z939" s="1" t="s">
        <v>711</v>
      </c>
      <c r="AA939" s="12">
        <v>44719</v>
      </c>
      <c r="AB939" s="1" t="s">
        <v>573</v>
      </c>
      <c r="AC939" s="1" t="s">
        <v>66</v>
      </c>
      <c r="AD939" s="1" t="s">
        <v>2756</v>
      </c>
      <c r="AE939" s="1" t="s">
        <v>69</v>
      </c>
      <c r="AG939" s="1">
        <v>10485060</v>
      </c>
    </row>
    <row r="940" spans="3:33" s="1" customFormat="1" x14ac:dyDescent="0.25">
      <c r="C940" s="1" t="s">
        <v>5571</v>
      </c>
      <c r="D940" s="1" t="s">
        <v>5549</v>
      </c>
      <c r="E940" s="1" t="s">
        <v>5566</v>
      </c>
      <c r="F940" s="13" t="s">
        <v>6952</v>
      </c>
      <c r="G940" s="1" t="s">
        <v>5567</v>
      </c>
      <c r="H940" s="1" t="s">
        <v>637</v>
      </c>
      <c r="I940" s="1">
        <v>261</v>
      </c>
      <c r="J940" s="1" t="s">
        <v>46</v>
      </c>
      <c r="M940" s="1" t="s">
        <v>1061</v>
      </c>
      <c r="N940" s="1" t="s">
        <v>48</v>
      </c>
      <c r="O940" s="9">
        <v>8</v>
      </c>
      <c r="P940" s="1">
        <f>ROUNDUP(1160*(1-$F$3),2)</f>
        <v>1160</v>
      </c>
      <c r="Q940" s="1" t="s">
        <v>49</v>
      </c>
      <c r="R940" s="1" t="s">
        <v>5572</v>
      </c>
      <c r="S940" s="1" t="s">
        <v>5573</v>
      </c>
      <c r="T940" s="9">
        <v>10</v>
      </c>
      <c r="U940" s="1">
        <f>ROUNDUP(1054.55*(1-$F$3),2)</f>
        <v>1054.55</v>
      </c>
      <c r="V940" s="1">
        <v>496</v>
      </c>
      <c r="Y940" s="1" t="s">
        <v>5570</v>
      </c>
      <c r="Z940" s="1" t="s">
        <v>711</v>
      </c>
      <c r="AA940" s="12">
        <v>43461</v>
      </c>
      <c r="AB940" s="1" t="s">
        <v>573</v>
      </c>
      <c r="AC940" s="1" t="s">
        <v>66</v>
      </c>
      <c r="AD940" s="1" t="s">
        <v>2756</v>
      </c>
      <c r="AE940" s="1" t="s">
        <v>69</v>
      </c>
      <c r="AG940" s="1">
        <v>8897120</v>
      </c>
    </row>
    <row r="941" spans="3:33" s="1" customFormat="1" x14ac:dyDescent="0.25">
      <c r="C941" s="1" t="s">
        <v>5574</v>
      </c>
      <c r="D941" s="1" t="s">
        <v>5549</v>
      </c>
      <c r="E941" s="1" t="s">
        <v>2733</v>
      </c>
      <c r="F941" s="13" t="s">
        <v>6952</v>
      </c>
      <c r="G941" s="1" t="s">
        <v>2734</v>
      </c>
      <c r="H941" s="1" t="s">
        <v>637</v>
      </c>
      <c r="I941" s="1">
        <v>272</v>
      </c>
      <c r="J941" s="1" t="s">
        <v>46</v>
      </c>
      <c r="K941" s="1" t="s">
        <v>3934</v>
      </c>
      <c r="M941" s="1" t="s">
        <v>169</v>
      </c>
      <c r="N941" s="1" t="s">
        <v>48</v>
      </c>
      <c r="O941" s="9">
        <v>8</v>
      </c>
      <c r="P941" s="1">
        <f>ROUNDUP(1240*(1-$F$3),2)</f>
        <v>1240</v>
      </c>
      <c r="Q941" s="1" t="s">
        <v>49</v>
      </c>
      <c r="R941" s="1" t="s">
        <v>5575</v>
      </c>
      <c r="S941" s="1" t="s">
        <v>5576</v>
      </c>
      <c r="T941" s="9">
        <v>10</v>
      </c>
      <c r="U941" s="1">
        <f>ROUNDUP(1127.27*(1-$F$3),2)</f>
        <v>1127.27</v>
      </c>
      <c r="V941" s="1">
        <v>531</v>
      </c>
      <c r="Y941" s="1" t="s">
        <v>2737</v>
      </c>
      <c r="Z941" s="1" t="s">
        <v>711</v>
      </c>
      <c r="AA941" s="12">
        <v>43543</v>
      </c>
      <c r="AB941" s="1" t="s">
        <v>573</v>
      </c>
      <c r="AC941" s="1" t="s">
        <v>66</v>
      </c>
      <c r="AD941" s="1" t="s">
        <v>2738</v>
      </c>
      <c r="AE941" s="1" t="s">
        <v>69</v>
      </c>
      <c r="AG941" s="1">
        <v>8979210</v>
      </c>
    </row>
    <row r="942" spans="3:33" s="1" customFormat="1" x14ac:dyDescent="0.25">
      <c r="C942" s="1" t="s">
        <v>5577</v>
      </c>
      <c r="D942" s="1" t="s">
        <v>5549</v>
      </c>
      <c r="E942" s="1" t="s">
        <v>5578</v>
      </c>
      <c r="F942" s="13" t="s">
        <v>6952</v>
      </c>
      <c r="G942" s="1" t="s">
        <v>5579</v>
      </c>
      <c r="H942" s="1" t="s">
        <v>61</v>
      </c>
      <c r="I942" s="1">
        <v>206</v>
      </c>
      <c r="J942" s="1" t="s">
        <v>46</v>
      </c>
      <c r="K942" s="1" t="s">
        <v>3934</v>
      </c>
      <c r="M942" s="1" t="s">
        <v>1061</v>
      </c>
      <c r="N942" s="1" t="s">
        <v>48</v>
      </c>
      <c r="O942" s="9">
        <v>16</v>
      </c>
      <c r="P942" s="1">
        <f>ROUNDUP(870*(1-$F$3),2)</f>
        <v>870</v>
      </c>
      <c r="Q942" s="1" t="s">
        <v>49</v>
      </c>
      <c r="R942" s="1" t="s">
        <v>5580</v>
      </c>
      <c r="S942" s="1" t="s">
        <v>5581</v>
      </c>
      <c r="T942" s="9">
        <v>10</v>
      </c>
      <c r="U942" s="1">
        <f>ROUNDUP(790.91*(1-$F$3),2)</f>
        <v>790.91</v>
      </c>
      <c r="V942" s="1">
        <v>334</v>
      </c>
      <c r="Y942" s="1" t="s">
        <v>5582</v>
      </c>
      <c r="Z942" s="1" t="s">
        <v>128</v>
      </c>
      <c r="AA942" s="12">
        <v>43483</v>
      </c>
      <c r="AB942" s="1" t="s">
        <v>66</v>
      </c>
      <c r="AC942" s="1" t="s">
        <v>143</v>
      </c>
      <c r="AD942" s="1" t="s">
        <v>144</v>
      </c>
      <c r="AE942" s="1" t="s">
        <v>69</v>
      </c>
      <c r="AG942" s="1">
        <v>8905360</v>
      </c>
    </row>
    <row r="943" spans="3:33" s="1" customFormat="1" x14ac:dyDescent="0.25">
      <c r="C943" s="1" t="s">
        <v>5583</v>
      </c>
      <c r="D943" s="1" t="s">
        <v>5549</v>
      </c>
      <c r="E943" s="1" t="s">
        <v>5584</v>
      </c>
      <c r="F943" s="13" t="s">
        <v>6952</v>
      </c>
      <c r="G943" s="1" t="s">
        <v>5585</v>
      </c>
      <c r="H943" s="1" t="s">
        <v>637</v>
      </c>
      <c r="I943" s="1">
        <v>288</v>
      </c>
      <c r="J943" s="1" t="s">
        <v>46</v>
      </c>
      <c r="M943" s="1" t="s">
        <v>1061</v>
      </c>
      <c r="N943" s="1" t="s">
        <v>48</v>
      </c>
      <c r="O943" s="9">
        <v>12</v>
      </c>
      <c r="P943" s="1">
        <f>ROUNDUP(1370*(1-$F$3),2)</f>
        <v>1370</v>
      </c>
      <c r="Q943" s="1" t="s">
        <v>49</v>
      </c>
      <c r="R943" s="1" t="s">
        <v>5586</v>
      </c>
      <c r="S943" s="1" t="s">
        <v>5587</v>
      </c>
      <c r="T943" s="9">
        <v>10</v>
      </c>
      <c r="U943" s="1">
        <f>ROUNDUP(1245.45*(1-$F$3),2)</f>
        <v>1245.45</v>
      </c>
      <c r="V943" s="1">
        <v>591</v>
      </c>
      <c r="Y943" s="1" t="s">
        <v>5588</v>
      </c>
      <c r="Z943" s="1" t="s">
        <v>128</v>
      </c>
      <c r="AA943" s="12">
        <v>43079</v>
      </c>
      <c r="AB943" s="1" t="s">
        <v>573</v>
      </c>
      <c r="AC943" s="1" t="s">
        <v>66</v>
      </c>
      <c r="AD943" s="1" t="s">
        <v>574</v>
      </c>
      <c r="AE943" s="1" t="s">
        <v>69</v>
      </c>
      <c r="AG943" s="1">
        <v>8396740</v>
      </c>
    </row>
    <row r="944" spans="3:33" s="1" customFormat="1" x14ac:dyDescent="0.25">
      <c r="C944" s="1" t="s">
        <v>5589</v>
      </c>
      <c r="D944" s="1" t="s">
        <v>5549</v>
      </c>
      <c r="E944" s="1" t="s">
        <v>5590</v>
      </c>
      <c r="F944" s="13" t="s">
        <v>6952</v>
      </c>
      <c r="G944" s="1" t="s">
        <v>5591</v>
      </c>
      <c r="H944" s="1" t="s">
        <v>61</v>
      </c>
      <c r="I944" s="1">
        <v>248</v>
      </c>
      <c r="J944" s="1" t="s">
        <v>46</v>
      </c>
      <c r="M944" s="1" t="s">
        <v>169</v>
      </c>
      <c r="N944" s="1" t="s">
        <v>48</v>
      </c>
      <c r="O944" s="9">
        <v>8</v>
      </c>
      <c r="P944" s="1">
        <f>ROUNDUP(1340*(1-$F$3),2)</f>
        <v>1340</v>
      </c>
      <c r="Q944" s="1" t="s">
        <v>49</v>
      </c>
      <c r="R944" s="1" t="s">
        <v>5592</v>
      </c>
      <c r="S944" s="1" t="s">
        <v>5593</v>
      </c>
      <c r="T944" s="9">
        <v>10</v>
      </c>
      <c r="U944" s="1">
        <f>ROUNDUP(1218.18*(1-$F$3),2)</f>
        <v>1218.18</v>
      </c>
      <c r="V944" s="1">
        <v>409</v>
      </c>
      <c r="Y944" s="1" t="s">
        <v>5594</v>
      </c>
      <c r="Z944" s="1" t="s">
        <v>711</v>
      </c>
      <c r="AA944" s="12">
        <v>44720</v>
      </c>
      <c r="AB944" s="1" t="s">
        <v>573</v>
      </c>
      <c r="AC944" s="1" t="s">
        <v>66</v>
      </c>
      <c r="AD944" s="1" t="s">
        <v>574</v>
      </c>
      <c r="AE944" s="1" t="s">
        <v>69</v>
      </c>
      <c r="AG944" s="1">
        <v>10408220</v>
      </c>
    </row>
    <row r="945" spans="3:33" s="1" customFormat="1" x14ac:dyDescent="0.25">
      <c r="C945" s="1" t="s">
        <v>5595</v>
      </c>
      <c r="D945" s="1" t="s">
        <v>5596</v>
      </c>
      <c r="E945" s="1" t="s">
        <v>5597</v>
      </c>
      <c r="F945" s="13" t="s">
        <v>6952</v>
      </c>
      <c r="G945" s="1" t="s">
        <v>3661</v>
      </c>
      <c r="H945" s="1" t="s">
        <v>45</v>
      </c>
      <c r="I945" s="1">
        <v>32</v>
      </c>
      <c r="J945" s="1" t="s">
        <v>46</v>
      </c>
      <c r="M945" s="1" t="s">
        <v>169</v>
      </c>
      <c r="N945" s="1" t="s">
        <v>48</v>
      </c>
      <c r="O945" s="9">
        <v>10</v>
      </c>
      <c r="P945" s="1">
        <f>ROUNDUP(920*(1-$F$3),2)</f>
        <v>920</v>
      </c>
      <c r="Q945" s="1" t="s">
        <v>49</v>
      </c>
      <c r="R945" s="1" t="s">
        <v>5598</v>
      </c>
      <c r="S945" s="1" t="s">
        <v>5599</v>
      </c>
      <c r="T945" s="9">
        <v>10</v>
      </c>
      <c r="U945" s="1">
        <f>ROUNDUP(836.36*(1-$F$3),2)</f>
        <v>836.36</v>
      </c>
      <c r="V945" s="1">
        <v>382</v>
      </c>
      <c r="Y945" s="1" t="s">
        <v>5600</v>
      </c>
      <c r="Z945" s="1" t="s">
        <v>1757</v>
      </c>
      <c r="AA945" s="12">
        <v>44666</v>
      </c>
      <c r="AB945" s="1" t="s">
        <v>573</v>
      </c>
      <c r="AC945" s="1" t="s">
        <v>66</v>
      </c>
      <c r="AD945" s="1" t="s">
        <v>2756</v>
      </c>
      <c r="AE945" s="1" t="s">
        <v>57</v>
      </c>
      <c r="AG945" s="1">
        <v>10292700</v>
      </c>
    </row>
    <row r="946" spans="3:33" s="1" customFormat="1" x14ac:dyDescent="0.25">
      <c r="C946" s="1" t="s">
        <v>5601</v>
      </c>
      <c r="D946" s="1" t="s">
        <v>5596</v>
      </c>
      <c r="E946" s="1" t="s">
        <v>5602</v>
      </c>
      <c r="F946" s="13" t="s">
        <v>6952</v>
      </c>
      <c r="G946" s="1" t="s">
        <v>3661</v>
      </c>
      <c r="H946" s="1" t="s">
        <v>45</v>
      </c>
      <c r="I946" s="1">
        <v>32</v>
      </c>
      <c r="J946" s="1" t="s">
        <v>46</v>
      </c>
      <c r="M946" s="1" t="s">
        <v>169</v>
      </c>
      <c r="N946" s="1" t="s">
        <v>48</v>
      </c>
      <c r="O946" s="9">
        <v>10</v>
      </c>
      <c r="P946" s="1">
        <f>ROUNDUP(920*(1-$F$3),2)</f>
        <v>920</v>
      </c>
      <c r="Q946" s="1" t="s">
        <v>49</v>
      </c>
      <c r="R946" s="1" t="s">
        <v>5603</v>
      </c>
      <c r="S946" s="1" t="s">
        <v>5604</v>
      </c>
      <c r="T946" s="9">
        <v>10</v>
      </c>
      <c r="U946" s="1">
        <f>ROUNDUP(836.36*(1-$F$3),2)</f>
        <v>836.36</v>
      </c>
      <c r="V946" s="1">
        <v>382</v>
      </c>
      <c r="Y946" s="1" t="s">
        <v>5605</v>
      </c>
      <c r="Z946" s="1" t="s">
        <v>1757</v>
      </c>
      <c r="AA946" s="12">
        <v>44666</v>
      </c>
      <c r="AB946" s="1" t="s">
        <v>573</v>
      </c>
      <c r="AC946" s="1" t="s">
        <v>66</v>
      </c>
      <c r="AD946" s="1" t="s">
        <v>2756</v>
      </c>
      <c r="AE946" s="1" t="s">
        <v>57</v>
      </c>
      <c r="AG946" s="1">
        <v>10292370</v>
      </c>
    </row>
    <row r="947" spans="3:33" s="1" customFormat="1" x14ac:dyDescent="0.25">
      <c r="C947" s="1" t="s">
        <v>5606</v>
      </c>
      <c r="D947" s="1" t="s">
        <v>5596</v>
      </c>
      <c r="E947" s="1" t="s">
        <v>5607</v>
      </c>
      <c r="F947" s="13" t="s">
        <v>6952</v>
      </c>
      <c r="G947" s="1" t="s">
        <v>3661</v>
      </c>
      <c r="H947" s="1" t="s">
        <v>45</v>
      </c>
      <c r="I947" s="1">
        <v>32</v>
      </c>
      <c r="J947" s="1" t="s">
        <v>46</v>
      </c>
      <c r="M947" s="1" t="s">
        <v>169</v>
      </c>
      <c r="N947" s="1" t="s">
        <v>48</v>
      </c>
      <c r="O947" s="9">
        <v>10</v>
      </c>
      <c r="P947" s="1">
        <f>ROUNDUP(920*(1-$F$3),2)</f>
        <v>920</v>
      </c>
      <c r="Q947" s="1" t="s">
        <v>49</v>
      </c>
      <c r="R947" s="1" t="s">
        <v>5608</v>
      </c>
      <c r="S947" s="1" t="s">
        <v>5609</v>
      </c>
      <c r="T947" s="9">
        <v>10</v>
      </c>
      <c r="U947" s="1">
        <f>ROUNDUP(836.36*(1-$F$3),2)</f>
        <v>836.36</v>
      </c>
      <c r="V947" s="1">
        <v>261</v>
      </c>
      <c r="Y947" s="1" t="s">
        <v>5610</v>
      </c>
      <c r="Z947" s="1" t="s">
        <v>1757</v>
      </c>
      <c r="AA947" s="12">
        <v>44680</v>
      </c>
      <c r="AB947" s="1" t="s">
        <v>573</v>
      </c>
      <c r="AC947" s="1" t="s">
        <v>66</v>
      </c>
      <c r="AD947" s="1" t="s">
        <v>2756</v>
      </c>
      <c r="AE947" s="1" t="s">
        <v>57</v>
      </c>
      <c r="AG947" s="1">
        <v>10372920</v>
      </c>
    </row>
    <row r="948" spans="3:33" s="1" customFormat="1" x14ac:dyDescent="0.25">
      <c r="C948" s="1" t="s">
        <v>5611</v>
      </c>
      <c r="D948" s="1" t="s">
        <v>5596</v>
      </c>
      <c r="E948" s="1" t="s">
        <v>5612</v>
      </c>
      <c r="F948" s="13" t="s">
        <v>6952</v>
      </c>
      <c r="G948" s="1" t="s">
        <v>3661</v>
      </c>
      <c r="H948" s="1" t="s">
        <v>45</v>
      </c>
      <c r="I948" s="1">
        <v>32</v>
      </c>
      <c r="J948" s="1" t="s">
        <v>46</v>
      </c>
      <c r="M948" s="1" t="s">
        <v>169</v>
      </c>
      <c r="N948" s="1" t="s">
        <v>48</v>
      </c>
      <c r="O948" s="9">
        <v>20</v>
      </c>
      <c r="P948" s="1">
        <f>ROUNDUP(1100*(1-$F$3),2)</f>
        <v>1100</v>
      </c>
      <c r="Q948" s="1" t="s">
        <v>49</v>
      </c>
      <c r="R948" s="1" t="s">
        <v>5613</v>
      </c>
      <c r="S948" s="1" t="s">
        <v>5614</v>
      </c>
      <c r="T948" s="9">
        <v>10</v>
      </c>
      <c r="U948" s="1">
        <f>ROUNDUP(1000*(1-$F$3),2)</f>
        <v>1000</v>
      </c>
      <c r="V948" s="1">
        <v>391</v>
      </c>
      <c r="Y948" s="1" t="s">
        <v>5615</v>
      </c>
      <c r="Z948" s="1" t="s">
        <v>1757</v>
      </c>
      <c r="AA948" s="12">
        <v>44531</v>
      </c>
      <c r="AB948" s="1" t="s">
        <v>573</v>
      </c>
      <c r="AC948" s="1" t="s">
        <v>1439</v>
      </c>
      <c r="AD948" s="1" t="s">
        <v>5616</v>
      </c>
      <c r="AE948" s="1" t="s">
        <v>57</v>
      </c>
      <c r="AG948" s="1">
        <v>10099090</v>
      </c>
    </row>
    <row r="949" spans="3:33" s="1" customFormat="1" x14ac:dyDescent="0.25">
      <c r="C949" s="1" t="s">
        <v>5617</v>
      </c>
      <c r="D949" s="1" t="s">
        <v>5596</v>
      </c>
      <c r="E949" s="1" t="s">
        <v>5618</v>
      </c>
      <c r="F949" s="13" t="s">
        <v>6952</v>
      </c>
      <c r="G949" s="1" t="s">
        <v>3661</v>
      </c>
      <c r="H949" s="1" t="s">
        <v>45</v>
      </c>
      <c r="I949" s="1">
        <v>32</v>
      </c>
      <c r="J949" s="1" t="s">
        <v>46</v>
      </c>
      <c r="M949" s="1" t="s">
        <v>169</v>
      </c>
      <c r="N949" s="1" t="s">
        <v>48</v>
      </c>
      <c r="O949" s="9">
        <v>10</v>
      </c>
      <c r="P949" s="1">
        <f>ROUNDUP(950*(1-$F$3),2)</f>
        <v>950</v>
      </c>
      <c r="Q949" s="1" t="s">
        <v>49</v>
      </c>
      <c r="R949" s="1" t="s">
        <v>5619</v>
      </c>
      <c r="S949" s="1" t="s">
        <v>5620</v>
      </c>
      <c r="T949" s="9">
        <v>10</v>
      </c>
      <c r="U949" s="1">
        <f>ROUNDUP(863.64*(1-$F$3),2)</f>
        <v>863.64</v>
      </c>
      <c r="V949" s="1">
        <v>384</v>
      </c>
      <c r="Y949" s="1" t="s">
        <v>5621</v>
      </c>
      <c r="Z949" s="1" t="s">
        <v>1757</v>
      </c>
      <c r="AA949" s="12">
        <v>44711</v>
      </c>
      <c r="AB949" s="1" t="s">
        <v>573</v>
      </c>
      <c r="AC949" s="1" t="s">
        <v>66</v>
      </c>
      <c r="AD949" s="1" t="s">
        <v>2756</v>
      </c>
      <c r="AE949" s="1" t="s">
        <v>57</v>
      </c>
      <c r="AG949" s="1">
        <v>10403250</v>
      </c>
    </row>
    <row r="950" spans="3:33" s="1" customFormat="1" x14ac:dyDescent="0.25">
      <c r="C950" s="1" t="s">
        <v>5622</v>
      </c>
      <c r="D950" s="1" t="s">
        <v>5596</v>
      </c>
      <c r="E950" s="1" t="s">
        <v>5623</v>
      </c>
      <c r="F950" s="13" t="s">
        <v>6952</v>
      </c>
      <c r="G950" s="1" t="s">
        <v>3661</v>
      </c>
      <c r="H950" s="1" t="s">
        <v>45</v>
      </c>
      <c r="I950" s="1">
        <v>32</v>
      </c>
      <c r="J950" s="1" t="s">
        <v>46</v>
      </c>
      <c r="M950" s="1" t="s">
        <v>169</v>
      </c>
      <c r="N950" s="1" t="s">
        <v>48</v>
      </c>
      <c r="O950" s="9">
        <v>20</v>
      </c>
      <c r="P950" s="1">
        <f>ROUNDUP(800*(1-$F$3),2)</f>
        <v>800</v>
      </c>
      <c r="Q950" s="1" t="s">
        <v>49</v>
      </c>
      <c r="R950" s="1" t="s">
        <v>5624</v>
      </c>
      <c r="S950" s="1" t="s">
        <v>5625</v>
      </c>
      <c r="T950" s="9">
        <v>10</v>
      </c>
      <c r="U950" s="1">
        <f>ROUNDUP(727.27*(1-$F$3),2)</f>
        <v>727.27</v>
      </c>
      <c r="V950" s="1">
        <v>386</v>
      </c>
      <c r="Y950" s="1" t="s">
        <v>5626</v>
      </c>
      <c r="Z950" s="1" t="s">
        <v>1757</v>
      </c>
      <c r="AA950" s="12">
        <v>44531</v>
      </c>
      <c r="AB950" s="1" t="s">
        <v>573</v>
      </c>
      <c r="AC950" s="1" t="s">
        <v>1439</v>
      </c>
      <c r="AD950" s="1" t="s">
        <v>5542</v>
      </c>
      <c r="AE950" s="1" t="s">
        <v>57</v>
      </c>
      <c r="AG950" s="1">
        <v>10096280</v>
      </c>
    </row>
    <row r="951" spans="3:33" s="1" customFormat="1" x14ac:dyDescent="0.25">
      <c r="C951" s="1" t="s">
        <v>5627</v>
      </c>
      <c r="D951" s="1" t="s">
        <v>5596</v>
      </c>
      <c r="E951" s="1" t="s">
        <v>5628</v>
      </c>
      <c r="F951" s="13" t="s">
        <v>6952</v>
      </c>
      <c r="G951" s="1" t="s">
        <v>3661</v>
      </c>
      <c r="H951" s="1" t="s">
        <v>45</v>
      </c>
      <c r="I951" s="1">
        <v>32</v>
      </c>
      <c r="J951" s="1" t="s">
        <v>46</v>
      </c>
      <c r="M951" s="1" t="s">
        <v>169</v>
      </c>
      <c r="N951" s="1" t="s">
        <v>48</v>
      </c>
      <c r="O951" s="9">
        <v>20</v>
      </c>
      <c r="P951" s="1">
        <f>ROUNDUP(800*(1-$F$3),2)</f>
        <v>800</v>
      </c>
      <c r="Q951" s="1" t="s">
        <v>49</v>
      </c>
      <c r="R951" s="1" t="s">
        <v>5629</v>
      </c>
      <c r="S951" s="1" t="s">
        <v>5630</v>
      </c>
      <c r="T951" s="9">
        <v>10</v>
      </c>
      <c r="U951" s="1">
        <f>ROUNDUP(727.27*(1-$F$3),2)</f>
        <v>727.27</v>
      </c>
      <c r="V951" s="1">
        <v>393</v>
      </c>
      <c r="Y951" s="1" t="s">
        <v>5631</v>
      </c>
      <c r="Z951" s="1" t="s">
        <v>1757</v>
      </c>
      <c r="AA951" s="12">
        <v>44531</v>
      </c>
      <c r="AB951" s="1" t="s">
        <v>573</v>
      </c>
      <c r="AC951" s="1" t="s">
        <v>66</v>
      </c>
      <c r="AD951" s="1" t="s">
        <v>2738</v>
      </c>
      <c r="AE951" s="1" t="s">
        <v>57</v>
      </c>
      <c r="AG951" s="1">
        <v>10096290</v>
      </c>
    </row>
    <row r="952" spans="3:33" s="1" customFormat="1" x14ac:dyDescent="0.25">
      <c r="C952" s="1" t="s">
        <v>5632</v>
      </c>
      <c r="D952" s="1" t="s">
        <v>5596</v>
      </c>
      <c r="E952" s="1" t="s">
        <v>5633</v>
      </c>
      <c r="F952" s="13" t="s">
        <v>6952</v>
      </c>
      <c r="G952" s="1" t="s">
        <v>3661</v>
      </c>
      <c r="H952" s="1" t="s">
        <v>45</v>
      </c>
      <c r="I952" s="1">
        <v>32</v>
      </c>
      <c r="J952" s="1" t="s">
        <v>46</v>
      </c>
      <c r="K952" s="1" t="s">
        <v>261</v>
      </c>
      <c r="M952" s="1" t="s">
        <v>169</v>
      </c>
      <c r="N952" s="1" t="s">
        <v>48</v>
      </c>
      <c r="O952" s="9">
        <v>10</v>
      </c>
      <c r="P952" s="1">
        <f>ROUNDUP(920*(1-$F$3),2)</f>
        <v>920</v>
      </c>
      <c r="Q952" s="1" t="s">
        <v>49</v>
      </c>
      <c r="R952" s="1" t="s">
        <v>5634</v>
      </c>
      <c r="S952" s="1" t="s">
        <v>5635</v>
      </c>
      <c r="T952" s="9">
        <v>10</v>
      </c>
      <c r="U952" s="1">
        <f>ROUNDUP(836.36*(1-$F$3),2)</f>
        <v>836.36</v>
      </c>
      <c r="V952" s="1">
        <v>384</v>
      </c>
      <c r="Y952" s="1" t="s">
        <v>5636</v>
      </c>
      <c r="Z952" s="1" t="s">
        <v>1757</v>
      </c>
      <c r="AA952" s="12">
        <v>44623</v>
      </c>
      <c r="AB952" s="1" t="s">
        <v>573</v>
      </c>
      <c r="AC952" s="1" t="s">
        <v>66</v>
      </c>
      <c r="AD952" s="1" t="s">
        <v>2756</v>
      </c>
      <c r="AE952" s="1" t="s">
        <v>57</v>
      </c>
      <c r="AG952" s="1">
        <v>10238910</v>
      </c>
    </row>
    <row r="953" spans="3:33" s="1" customFormat="1" x14ac:dyDescent="0.25">
      <c r="C953" s="1" t="s">
        <v>5637</v>
      </c>
      <c r="D953" s="1" t="s">
        <v>5596</v>
      </c>
      <c r="E953" s="1" t="s">
        <v>5638</v>
      </c>
      <c r="F953" s="13" t="s">
        <v>6952</v>
      </c>
      <c r="G953" s="1" t="s">
        <v>3661</v>
      </c>
      <c r="H953" s="1" t="s">
        <v>45</v>
      </c>
      <c r="I953" s="1">
        <v>32</v>
      </c>
      <c r="J953" s="1" t="s">
        <v>46</v>
      </c>
      <c r="K953" s="1" t="s">
        <v>261</v>
      </c>
      <c r="M953" s="1" t="s">
        <v>169</v>
      </c>
      <c r="N953" s="1" t="s">
        <v>48</v>
      </c>
      <c r="O953" s="9">
        <v>10</v>
      </c>
      <c r="P953" s="1">
        <f>ROUNDUP(920*(1-$F$3),2)</f>
        <v>920</v>
      </c>
      <c r="Q953" s="1" t="s">
        <v>49</v>
      </c>
      <c r="R953" s="1" t="s">
        <v>5639</v>
      </c>
      <c r="S953" s="1" t="s">
        <v>5640</v>
      </c>
      <c r="T953" s="9">
        <v>10</v>
      </c>
      <c r="U953" s="1">
        <f>ROUNDUP(836.36*(1-$F$3),2)</f>
        <v>836.36</v>
      </c>
      <c r="V953" s="1">
        <v>389</v>
      </c>
      <c r="Y953" s="1" t="s">
        <v>5641</v>
      </c>
      <c r="Z953" s="1" t="s">
        <v>1757</v>
      </c>
      <c r="AA953" s="12">
        <v>44623</v>
      </c>
      <c r="AB953" s="1" t="s">
        <v>573</v>
      </c>
      <c r="AC953" s="1" t="s">
        <v>66</v>
      </c>
      <c r="AD953" s="1" t="s">
        <v>2756</v>
      </c>
      <c r="AE953" s="1" t="s">
        <v>57</v>
      </c>
      <c r="AG953" s="1">
        <v>10238920</v>
      </c>
    </row>
    <row r="954" spans="3:33" s="1" customFormat="1" x14ac:dyDescent="0.25">
      <c r="C954" s="1" t="s">
        <v>5642</v>
      </c>
      <c r="D954" s="1" t="s">
        <v>5596</v>
      </c>
      <c r="E954" s="1" t="s">
        <v>5643</v>
      </c>
      <c r="F954" s="13" t="s">
        <v>6952</v>
      </c>
      <c r="G954" s="1" t="s">
        <v>3661</v>
      </c>
      <c r="H954" s="1" t="s">
        <v>45</v>
      </c>
      <c r="I954" s="1">
        <v>32</v>
      </c>
      <c r="J954" s="1" t="s">
        <v>46</v>
      </c>
      <c r="M954" s="1" t="s">
        <v>169</v>
      </c>
      <c r="N954" s="1" t="s">
        <v>48</v>
      </c>
      <c r="O954" s="9">
        <v>10</v>
      </c>
      <c r="P954" s="1">
        <f>ROUNDUP(950*(1-$F$3),2)</f>
        <v>950</v>
      </c>
      <c r="Q954" s="1" t="s">
        <v>49</v>
      </c>
      <c r="R954" s="1" t="s">
        <v>5644</v>
      </c>
      <c r="S954" s="1" t="s">
        <v>5645</v>
      </c>
      <c r="T954" s="9">
        <v>10</v>
      </c>
      <c r="U954" s="1">
        <f>ROUNDUP(863.64*(1-$F$3),2)</f>
        <v>863.64</v>
      </c>
      <c r="V954" s="1">
        <v>387</v>
      </c>
      <c r="Y954" s="1" t="s">
        <v>5646</v>
      </c>
      <c r="Z954" s="1" t="s">
        <v>1757</v>
      </c>
      <c r="AA954" s="12">
        <v>44711</v>
      </c>
      <c r="AB954" s="1" t="s">
        <v>573</v>
      </c>
      <c r="AC954" s="1" t="s">
        <v>66</v>
      </c>
      <c r="AD954" s="1" t="s">
        <v>2756</v>
      </c>
      <c r="AE954" s="1" t="s">
        <v>57</v>
      </c>
      <c r="AG954" s="1">
        <v>10406750</v>
      </c>
    </row>
    <row r="955" spans="3:33" s="1" customFormat="1" x14ac:dyDescent="0.25">
      <c r="C955" s="1" t="s">
        <v>5647</v>
      </c>
      <c r="D955" s="1" t="s">
        <v>5596</v>
      </c>
      <c r="E955" s="1" t="s">
        <v>5648</v>
      </c>
      <c r="F955" s="13" t="s">
        <v>6952</v>
      </c>
      <c r="G955" s="1" t="s">
        <v>3661</v>
      </c>
      <c r="H955" s="1" t="s">
        <v>45</v>
      </c>
      <c r="I955" s="1">
        <v>96</v>
      </c>
      <c r="J955" s="1" t="s">
        <v>46</v>
      </c>
      <c r="M955" s="1" t="s">
        <v>169</v>
      </c>
      <c r="N955" s="1" t="s">
        <v>48</v>
      </c>
      <c r="O955" s="9"/>
      <c r="P955" s="1">
        <f>ROUNDUP(2180*(1-$F$3),2)</f>
        <v>2180</v>
      </c>
      <c r="Q955" s="1" t="s">
        <v>49</v>
      </c>
      <c r="R955" s="1" t="s">
        <v>5649</v>
      </c>
      <c r="S955" s="1" t="s">
        <v>5650</v>
      </c>
      <c r="T955" s="9">
        <v>10</v>
      </c>
      <c r="U955" s="1">
        <f>ROUNDUP(1981.82*(1-$F$3),2)</f>
        <v>1981.82</v>
      </c>
      <c r="V955" s="1">
        <v>1171</v>
      </c>
      <c r="Y955" s="1" t="s">
        <v>5651</v>
      </c>
      <c r="Z955" s="1" t="s">
        <v>1757</v>
      </c>
      <c r="AA955" s="12">
        <v>44586</v>
      </c>
      <c r="AB955" s="1" t="s">
        <v>573</v>
      </c>
      <c r="AC955" s="1" t="s">
        <v>66</v>
      </c>
      <c r="AD955" s="1" t="s">
        <v>712</v>
      </c>
      <c r="AE955" s="1" t="s">
        <v>57</v>
      </c>
      <c r="AG955" s="1">
        <v>10276290</v>
      </c>
    </row>
    <row r="956" spans="3:33" s="1" customFormat="1" x14ac:dyDescent="0.25">
      <c r="C956" s="1" t="s">
        <v>5652</v>
      </c>
      <c r="D956" s="1" t="s">
        <v>5653</v>
      </c>
      <c r="E956" s="1" t="s">
        <v>5654</v>
      </c>
      <c r="F956" s="13" t="s">
        <v>6952</v>
      </c>
      <c r="G956" s="1" t="s">
        <v>5655</v>
      </c>
      <c r="H956" s="1" t="s">
        <v>61</v>
      </c>
      <c r="I956" s="1">
        <v>512</v>
      </c>
      <c r="J956" s="1" t="s">
        <v>46</v>
      </c>
      <c r="M956" s="1" t="s">
        <v>2310</v>
      </c>
      <c r="N956" s="1" t="s">
        <v>48</v>
      </c>
      <c r="O956" s="9">
        <v>8</v>
      </c>
      <c r="P956" s="1">
        <f>ROUNDUP(610*(1-$F$3),2)</f>
        <v>610</v>
      </c>
      <c r="Q956" s="1" t="s">
        <v>49</v>
      </c>
      <c r="R956" s="1" t="s">
        <v>5656</v>
      </c>
      <c r="S956" s="1" t="s">
        <v>5657</v>
      </c>
      <c r="T956" s="9">
        <v>22</v>
      </c>
      <c r="U956" s="1">
        <f>ROUNDUP(500*(1-$F$3),2)</f>
        <v>500</v>
      </c>
      <c r="V956" s="1">
        <v>448</v>
      </c>
      <c r="Y956" s="1" t="s">
        <v>5658</v>
      </c>
      <c r="Z956" s="1" t="s">
        <v>53</v>
      </c>
      <c r="AA956" s="12">
        <v>43378</v>
      </c>
      <c r="AB956" s="1" t="s">
        <v>234</v>
      </c>
      <c r="AC956" s="1" t="s">
        <v>235</v>
      </c>
      <c r="AD956" s="1" t="s">
        <v>5659</v>
      </c>
      <c r="AE956" s="1" t="s">
        <v>878</v>
      </c>
      <c r="AG956" s="1">
        <v>8738410</v>
      </c>
    </row>
    <row r="957" spans="3:33" s="1" customFormat="1" x14ac:dyDescent="0.25">
      <c r="C957" s="1" t="s">
        <v>5660</v>
      </c>
      <c r="D957" s="1" t="s">
        <v>5653</v>
      </c>
      <c r="E957" s="1" t="s">
        <v>5661</v>
      </c>
      <c r="F957" s="13" t="s">
        <v>6952</v>
      </c>
      <c r="G957" s="1" t="s">
        <v>2793</v>
      </c>
      <c r="H957" s="1" t="s">
        <v>160</v>
      </c>
      <c r="I957" s="1">
        <v>480</v>
      </c>
      <c r="J957" s="1" t="s">
        <v>46</v>
      </c>
      <c r="M957" s="1" t="s">
        <v>47</v>
      </c>
      <c r="N957" s="1" t="s">
        <v>48</v>
      </c>
      <c r="O957" s="9">
        <v>8</v>
      </c>
      <c r="P957" s="1">
        <f>ROUNDUP(910*(1-$F$3),2)</f>
        <v>910</v>
      </c>
      <c r="Q957" s="1" t="s">
        <v>49</v>
      </c>
      <c r="R957" s="1" t="s">
        <v>5662</v>
      </c>
      <c r="S957" s="1" t="s">
        <v>5663</v>
      </c>
      <c r="T957" s="9">
        <v>22</v>
      </c>
      <c r="U957" s="1">
        <f>ROUNDUP(745.9*(1-$F$3),2)</f>
        <v>745.9</v>
      </c>
      <c r="V957" s="1">
        <v>356</v>
      </c>
      <c r="Y957" s="1" t="s">
        <v>5664</v>
      </c>
      <c r="Z957" s="1" t="s">
        <v>53</v>
      </c>
      <c r="AA957" s="12">
        <v>42871</v>
      </c>
      <c r="AB957" s="1" t="s">
        <v>286</v>
      </c>
      <c r="AC957" s="1" t="s">
        <v>320</v>
      </c>
      <c r="AD957" s="1" t="s">
        <v>746</v>
      </c>
      <c r="AE957" s="1" t="s">
        <v>69</v>
      </c>
      <c r="AG957" s="1">
        <v>8161430</v>
      </c>
    </row>
    <row r="958" spans="3:33" s="1" customFormat="1" x14ac:dyDescent="0.25">
      <c r="C958" s="1" t="s">
        <v>5665</v>
      </c>
      <c r="D958" s="1" t="s">
        <v>5653</v>
      </c>
      <c r="E958" s="1" t="s">
        <v>5666</v>
      </c>
      <c r="F958" s="13" t="s">
        <v>6952</v>
      </c>
      <c r="G958" s="1" t="s">
        <v>5667</v>
      </c>
      <c r="H958" s="1" t="s">
        <v>61</v>
      </c>
      <c r="I958" s="1">
        <v>288</v>
      </c>
      <c r="J958" s="1" t="s">
        <v>46</v>
      </c>
      <c r="M958" s="1" t="s">
        <v>987</v>
      </c>
      <c r="N958" s="1" t="s">
        <v>48</v>
      </c>
      <c r="O958" s="9">
        <v>14</v>
      </c>
      <c r="P958" s="1">
        <f>ROUNDUP(680*(1-$F$3),2)</f>
        <v>680</v>
      </c>
      <c r="Q958" s="1" t="s">
        <v>49</v>
      </c>
      <c r="R958" s="1" t="s">
        <v>5668</v>
      </c>
      <c r="S958" s="1" t="s">
        <v>5669</v>
      </c>
      <c r="T958" s="9">
        <v>22</v>
      </c>
      <c r="U958" s="1">
        <f>ROUNDUP(557.38*(1-$F$3),2)</f>
        <v>557.38</v>
      </c>
      <c r="V958" s="1">
        <v>292</v>
      </c>
      <c r="Y958" s="1" t="s">
        <v>5670</v>
      </c>
      <c r="Z958" s="1" t="s">
        <v>53</v>
      </c>
      <c r="AA958" s="12">
        <v>42843</v>
      </c>
      <c r="AB958" s="1" t="s">
        <v>286</v>
      </c>
      <c r="AC958" s="1" t="s">
        <v>5671</v>
      </c>
      <c r="AD958" s="1" t="s">
        <v>5672</v>
      </c>
      <c r="AE958" s="1" t="s">
        <v>49</v>
      </c>
      <c r="AG958" s="1">
        <v>8133370</v>
      </c>
    </row>
    <row r="959" spans="3:33" s="1" customFormat="1" x14ac:dyDescent="0.25">
      <c r="C959" s="1" t="s">
        <v>5673</v>
      </c>
      <c r="D959" s="1" t="s">
        <v>5674</v>
      </c>
      <c r="E959" s="1" t="s">
        <v>5675</v>
      </c>
      <c r="F959" s="13" t="s">
        <v>6952</v>
      </c>
      <c r="G959" s="1" t="s">
        <v>5676</v>
      </c>
      <c r="H959" s="1" t="s">
        <v>61</v>
      </c>
      <c r="I959" s="1">
        <v>496</v>
      </c>
      <c r="J959" s="1" t="s">
        <v>46</v>
      </c>
      <c r="M959" s="1" t="s">
        <v>2310</v>
      </c>
      <c r="N959" s="1" t="s">
        <v>48</v>
      </c>
      <c r="O959" s="9">
        <v>8</v>
      </c>
      <c r="P959" s="1">
        <f>ROUNDUP(1250*(1-$F$3),2)</f>
        <v>1250</v>
      </c>
      <c r="Q959" s="1" t="s">
        <v>49</v>
      </c>
      <c r="R959" s="1" t="s">
        <v>5677</v>
      </c>
      <c r="S959" s="1" t="s">
        <v>5678</v>
      </c>
      <c r="T959" s="9">
        <v>10</v>
      </c>
      <c r="U959" s="1">
        <f>ROUNDUP(1136.36*(1-$F$3),2)</f>
        <v>1136.3599999999999</v>
      </c>
      <c r="V959" s="1">
        <v>594</v>
      </c>
      <c r="Y959" s="1" t="s">
        <v>5679</v>
      </c>
      <c r="Z959" s="1" t="s">
        <v>53</v>
      </c>
      <c r="AA959" s="12">
        <v>43184</v>
      </c>
      <c r="AB959" s="1" t="s">
        <v>66</v>
      </c>
      <c r="AC959" s="1" t="s">
        <v>143</v>
      </c>
      <c r="AD959" s="1" t="s">
        <v>847</v>
      </c>
      <c r="AE959" s="1" t="s">
        <v>69</v>
      </c>
      <c r="AG959" s="1">
        <v>8477990</v>
      </c>
    </row>
    <row r="960" spans="3:33" s="1" customFormat="1" x14ac:dyDescent="0.25">
      <c r="C960" s="1" t="s">
        <v>5680</v>
      </c>
      <c r="D960" s="1" t="s">
        <v>5674</v>
      </c>
      <c r="E960" s="1" t="s">
        <v>5681</v>
      </c>
      <c r="F960" s="13" t="s">
        <v>6952</v>
      </c>
      <c r="G960" s="1" t="s">
        <v>5682</v>
      </c>
      <c r="H960" s="1" t="s">
        <v>61</v>
      </c>
      <c r="I960" s="1">
        <v>336</v>
      </c>
      <c r="J960" s="1" t="s">
        <v>46</v>
      </c>
      <c r="M960" s="1" t="s">
        <v>2310</v>
      </c>
      <c r="N960" s="1" t="s">
        <v>48</v>
      </c>
      <c r="O960" s="9">
        <v>10</v>
      </c>
      <c r="P960" s="1">
        <f>ROUNDUP(950*(1-$F$3),2)</f>
        <v>950</v>
      </c>
      <c r="Q960" s="1" t="s">
        <v>49</v>
      </c>
      <c r="R960" s="1" t="s">
        <v>5683</v>
      </c>
      <c r="S960" s="1" t="s">
        <v>5684</v>
      </c>
      <c r="T960" s="9">
        <v>10</v>
      </c>
      <c r="U960" s="1">
        <f>ROUNDUP(863.64*(1-$F$3),2)</f>
        <v>863.64</v>
      </c>
      <c r="V960" s="1">
        <v>429</v>
      </c>
      <c r="Y960" s="1" t="s">
        <v>5685</v>
      </c>
      <c r="Z960" s="1" t="s">
        <v>53</v>
      </c>
      <c r="AA960" s="12">
        <v>43166</v>
      </c>
      <c r="AB960" s="1" t="s">
        <v>66</v>
      </c>
      <c r="AC960" s="1" t="s">
        <v>143</v>
      </c>
      <c r="AD960" s="1" t="s">
        <v>847</v>
      </c>
      <c r="AE960" s="1" t="s">
        <v>69</v>
      </c>
      <c r="AG960" s="1">
        <v>8474930</v>
      </c>
    </row>
    <row r="961" spans="3:33" s="1" customFormat="1" x14ac:dyDescent="0.25">
      <c r="C961" s="1" t="s">
        <v>5686</v>
      </c>
      <c r="D961" s="1" t="s">
        <v>5687</v>
      </c>
      <c r="E961" s="1" t="s">
        <v>5688</v>
      </c>
      <c r="F961" s="13" t="s">
        <v>6952</v>
      </c>
      <c r="G961" s="1" t="s">
        <v>5689</v>
      </c>
      <c r="H961" s="1" t="s">
        <v>82</v>
      </c>
      <c r="I961" s="1">
        <v>480</v>
      </c>
      <c r="J961" s="1" t="s">
        <v>46</v>
      </c>
      <c r="M961" s="1" t="s">
        <v>169</v>
      </c>
      <c r="N961" s="1" t="s">
        <v>48</v>
      </c>
      <c r="O961" s="9">
        <v>5</v>
      </c>
      <c r="P961" s="1">
        <f>ROUNDUP(1750*(1-$F$3),2)</f>
        <v>1750</v>
      </c>
      <c r="Q961" s="1" t="s">
        <v>49</v>
      </c>
      <c r="R961" s="1" t="s">
        <v>5690</v>
      </c>
      <c r="S961" s="1" t="s">
        <v>5691</v>
      </c>
      <c r="T961" s="9">
        <v>10</v>
      </c>
      <c r="U961" s="1">
        <f>ROUNDUP(1590.91*(1-$F$3),2)</f>
        <v>1590.91</v>
      </c>
      <c r="V961" s="1">
        <v>873</v>
      </c>
      <c r="Y961" s="1" t="s">
        <v>5692</v>
      </c>
      <c r="Z961" s="1" t="s">
        <v>53</v>
      </c>
      <c r="AA961" s="12">
        <v>44513</v>
      </c>
      <c r="AB961" s="1" t="s">
        <v>334</v>
      </c>
      <c r="AC961" s="1" t="s">
        <v>627</v>
      </c>
      <c r="AD961" s="1" t="s">
        <v>930</v>
      </c>
      <c r="AE961" s="1" t="s">
        <v>69</v>
      </c>
      <c r="AG961" s="1">
        <v>9980870</v>
      </c>
    </row>
    <row r="962" spans="3:33" s="1" customFormat="1" x14ac:dyDescent="0.25">
      <c r="C962" s="1" t="s">
        <v>5693</v>
      </c>
      <c r="D962" s="1" t="s">
        <v>5687</v>
      </c>
      <c r="E962" s="1" t="s">
        <v>5694</v>
      </c>
      <c r="F962" s="13" t="s">
        <v>6952</v>
      </c>
      <c r="G962" s="1" t="s">
        <v>5695</v>
      </c>
      <c r="H962" s="1" t="s">
        <v>61</v>
      </c>
      <c r="I962" s="1">
        <v>464</v>
      </c>
      <c r="J962" s="1" t="s">
        <v>46</v>
      </c>
      <c r="K962" s="1" t="s">
        <v>1566</v>
      </c>
      <c r="M962" s="1" t="s">
        <v>47</v>
      </c>
      <c r="N962" s="1" t="s">
        <v>139</v>
      </c>
      <c r="O962" s="9">
        <v>5</v>
      </c>
      <c r="P962" s="1">
        <f>ROUNDUP(980*(1-$F$3),2)</f>
        <v>980</v>
      </c>
      <c r="Q962" s="1" t="s">
        <v>49</v>
      </c>
      <c r="R962" s="1" t="s">
        <v>5696</v>
      </c>
      <c r="S962" s="1" t="s">
        <v>5697</v>
      </c>
      <c r="T962" s="9">
        <v>10</v>
      </c>
      <c r="U962" s="1">
        <f>ROUNDUP(890.91*(1-$F$3),2)</f>
        <v>890.91</v>
      </c>
      <c r="V962" s="1">
        <v>323</v>
      </c>
      <c r="Y962" s="1" t="s">
        <v>2803</v>
      </c>
      <c r="Z962" s="1" t="s">
        <v>76</v>
      </c>
      <c r="AA962" s="12">
        <v>43647</v>
      </c>
      <c r="AB962" s="1" t="s">
        <v>234</v>
      </c>
      <c r="AC962" s="1" t="s">
        <v>235</v>
      </c>
      <c r="AD962" s="1" t="s">
        <v>236</v>
      </c>
      <c r="AE962" s="1" t="s">
        <v>878</v>
      </c>
      <c r="AG962" s="1">
        <v>9035890</v>
      </c>
    </row>
    <row r="963" spans="3:33" s="1" customFormat="1" x14ac:dyDescent="0.25">
      <c r="C963" s="1" t="s">
        <v>5698</v>
      </c>
      <c r="D963" s="1" t="s">
        <v>5687</v>
      </c>
      <c r="E963" s="1" t="s">
        <v>5699</v>
      </c>
      <c r="F963" s="13" t="s">
        <v>6952</v>
      </c>
      <c r="G963" s="1" t="s">
        <v>5700</v>
      </c>
      <c r="H963" s="1" t="s">
        <v>61</v>
      </c>
      <c r="I963" s="1">
        <v>399</v>
      </c>
      <c r="J963" s="1" t="s">
        <v>46</v>
      </c>
      <c r="M963" s="1" t="s">
        <v>1061</v>
      </c>
      <c r="N963" s="1" t="s">
        <v>139</v>
      </c>
      <c r="O963" s="9">
        <v>10</v>
      </c>
      <c r="P963" s="1">
        <f>ROUNDUP(1030*(1-$F$3),2)</f>
        <v>1030</v>
      </c>
      <c r="Q963" s="1" t="s">
        <v>49</v>
      </c>
      <c r="R963" s="1" t="s">
        <v>5701</v>
      </c>
      <c r="S963" s="1" t="s">
        <v>5702</v>
      </c>
      <c r="T963" s="9">
        <v>10</v>
      </c>
      <c r="U963" s="1">
        <f>ROUNDUP(936.36*(1-$F$3),2)</f>
        <v>936.36</v>
      </c>
      <c r="V963" s="1">
        <v>429</v>
      </c>
      <c r="Y963" s="1" t="s">
        <v>5703</v>
      </c>
      <c r="Z963" s="1" t="s">
        <v>76</v>
      </c>
      <c r="AA963" s="12">
        <v>43746</v>
      </c>
      <c r="AB963" s="1" t="s">
        <v>66</v>
      </c>
      <c r="AC963" s="1" t="s">
        <v>120</v>
      </c>
      <c r="AD963" s="1" t="s">
        <v>121</v>
      </c>
      <c r="AE963" s="1" t="s">
        <v>69</v>
      </c>
      <c r="AG963" s="1">
        <v>9184240</v>
      </c>
    </row>
    <row r="964" spans="3:33" s="1" customFormat="1" x14ac:dyDescent="0.25">
      <c r="C964" s="1" t="s">
        <v>5704</v>
      </c>
      <c r="D964" s="1" t="s">
        <v>5705</v>
      </c>
      <c r="E964" s="1" t="s">
        <v>5706</v>
      </c>
      <c r="F964" s="13" t="s">
        <v>6952</v>
      </c>
      <c r="G964" s="1" t="s">
        <v>5707</v>
      </c>
      <c r="H964" s="1" t="s">
        <v>61</v>
      </c>
      <c r="I964" s="1">
        <v>208</v>
      </c>
      <c r="J964" s="1" t="s">
        <v>46</v>
      </c>
      <c r="M964" s="1" t="s">
        <v>3298</v>
      </c>
      <c r="N964" s="1" t="s">
        <v>48</v>
      </c>
      <c r="O964" s="9">
        <v>18</v>
      </c>
      <c r="P964" s="1">
        <f>ROUNDUP(716.7*(1-$F$3),2)</f>
        <v>716.7</v>
      </c>
      <c r="Q964" s="1" t="s">
        <v>49</v>
      </c>
      <c r="R964" s="1" t="s">
        <v>5708</v>
      </c>
      <c r="S964" s="1" t="s">
        <v>5709</v>
      </c>
      <c r="T964" s="9">
        <v>10</v>
      </c>
      <c r="U964" s="1">
        <f>ROUNDUP(651.55*(1-$F$3),2)</f>
        <v>651.54999999999995</v>
      </c>
      <c r="V964" s="1">
        <v>384</v>
      </c>
      <c r="W964" s="1" t="s">
        <v>5710</v>
      </c>
      <c r="X964" s="1" t="s">
        <v>5711</v>
      </c>
      <c r="Y964" s="1" t="s">
        <v>5712</v>
      </c>
      <c r="Z964" s="1" t="s">
        <v>53</v>
      </c>
      <c r="AA964" s="12">
        <v>42247</v>
      </c>
      <c r="AB964" s="1" t="s">
        <v>286</v>
      </c>
      <c r="AC964" s="1" t="s">
        <v>320</v>
      </c>
      <c r="AD964" s="1" t="s">
        <v>970</v>
      </c>
      <c r="AE964" s="1" t="s">
        <v>49</v>
      </c>
      <c r="AG964" s="1">
        <v>7058300</v>
      </c>
    </row>
    <row r="965" spans="3:33" s="1" customFormat="1" x14ac:dyDescent="0.25">
      <c r="C965" s="1" t="s">
        <v>5713</v>
      </c>
      <c r="D965" s="1" t="s">
        <v>5714</v>
      </c>
      <c r="E965" s="1" t="s">
        <v>5715</v>
      </c>
      <c r="F965" s="13" t="s">
        <v>6952</v>
      </c>
      <c r="G965" s="1" t="s">
        <v>5716</v>
      </c>
      <c r="H965" s="1" t="s">
        <v>160</v>
      </c>
      <c r="I965" s="1">
        <v>480</v>
      </c>
      <c r="J965" s="1" t="s">
        <v>46</v>
      </c>
      <c r="M965" s="1" t="s">
        <v>835</v>
      </c>
      <c r="N965" s="1" t="s">
        <v>48</v>
      </c>
      <c r="O965" s="9">
        <v>8</v>
      </c>
      <c r="P965" s="1">
        <f>ROUNDUP(1110*(1-$F$3),2)</f>
        <v>1110</v>
      </c>
      <c r="Q965" s="1" t="s">
        <v>49</v>
      </c>
      <c r="R965" s="1" t="s">
        <v>5717</v>
      </c>
      <c r="S965" s="1" t="s">
        <v>5718</v>
      </c>
      <c r="T965" s="9">
        <v>10</v>
      </c>
      <c r="U965" s="1">
        <f>ROUNDUP(1009.09*(1-$F$3),2)</f>
        <v>1009.09</v>
      </c>
      <c r="V965" s="1">
        <v>456</v>
      </c>
      <c r="Y965" s="1" t="s">
        <v>5719</v>
      </c>
      <c r="Z965" s="1" t="s">
        <v>128</v>
      </c>
      <c r="AA965" s="12">
        <v>43914</v>
      </c>
      <c r="AB965" s="1" t="s">
        <v>728</v>
      </c>
      <c r="AC965" s="1" t="s">
        <v>729</v>
      </c>
      <c r="AD965" s="1" t="s">
        <v>730</v>
      </c>
      <c r="AE965" s="1" t="s">
        <v>69</v>
      </c>
      <c r="AG965" s="1">
        <v>9349010</v>
      </c>
    </row>
    <row r="966" spans="3:33" s="1" customFormat="1" x14ac:dyDescent="0.25">
      <c r="C966" s="1" t="s">
        <v>5720</v>
      </c>
      <c r="D966" s="1" t="s">
        <v>5721</v>
      </c>
      <c r="E966" s="1" t="s">
        <v>5722</v>
      </c>
      <c r="F966" s="13" t="s">
        <v>6952</v>
      </c>
      <c r="G966" s="1" t="s">
        <v>1500</v>
      </c>
      <c r="H966" s="1" t="s">
        <v>160</v>
      </c>
      <c r="I966" s="1">
        <v>464</v>
      </c>
      <c r="J966" s="1" t="s">
        <v>46</v>
      </c>
      <c r="M966" s="1" t="s">
        <v>756</v>
      </c>
      <c r="N966" s="1" t="s">
        <v>48</v>
      </c>
      <c r="O966" s="9">
        <v>8</v>
      </c>
      <c r="P966" s="1">
        <f>ROUNDUP(900*(1-$F$3),2)</f>
        <v>900</v>
      </c>
      <c r="Q966" s="1" t="s">
        <v>49</v>
      </c>
      <c r="R966" s="1" t="s">
        <v>5723</v>
      </c>
      <c r="S966" s="1" t="s">
        <v>5724</v>
      </c>
      <c r="T966" s="9">
        <v>10</v>
      </c>
      <c r="U966" s="1">
        <f>ROUNDUP(818.18*(1-$F$3),2)</f>
        <v>818.18</v>
      </c>
      <c r="V966" s="1">
        <v>346</v>
      </c>
      <c r="Y966" s="1" t="s">
        <v>5725</v>
      </c>
      <c r="Z966" s="1" t="s">
        <v>53</v>
      </c>
      <c r="AA966" s="12">
        <v>44334</v>
      </c>
      <c r="AB966" s="1" t="s">
        <v>66</v>
      </c>
      <c r="AC966" s="1" t="s">
        <v>491</v>
      </c>
      <c r="AD966" s="1" t="s">
        <v>492</v>
      </c>
      <c r="AE966" s="1" t="s">
        <v>878</v>
      </c>
      <c r="AG966" s="1">
        <v>9690490</v>
      </c>
    </row>
    <row r="967" spans="3:33" s="1" customFormat="1" x14ac:dyDescent="0.25">
      <c r="C967" s="1" t="s">
        <v>5726</v>
      </c>
      <c r="D967" s="1" t="s">
        <v>5727</v>
      </c>
      <c r="E967" s="1" t="s">
        <v>5728</v>
      </c>
      <c r="F967" s="13" t="s">
        <v>6952</v>
      </c>
      <c r="G967" s="1" t="s">
        <v>5729</v>
      </c>
      <c r="H967" s="1" t="s">
        <v>5730</v>
      </c>
      <c r="I967" s="1">
        <v>160</v>
      </c>
      <c r="J967" s="1" t="s">
        <v>46</v>
      </c>
      <c r="M967" s="1" t="s">
        <v>987</v>
      </c>
      <c r="N967" s="1" t="s">
        <v>48</v>
      </c>
      <c r="O967" s="9">
        <v>24</v>
      </c>
      <c r="P967" s="1">
        <f>ROUNDUP(1150*(1-$F$3),2)</f>
        <v>1150</v>
      </c>
      <c r="Q967" s="1" t="s">
        <v>49</v>
      </c>
      <c r="R967" s="1" t="s">
        <v>5731</v>
      </c>
      <c r="S967" s="1" t="s">
        <v>5732</v>
      </c>
      <c r="T967" s="9">
        <v>10</v>
      </c>
      <c r="U967" s="1">
        <f>ROUNDUP(1045.45*(1-$F$3),2)</f>
        <v>1045.45</v>
      </c>
      <c r="V967" s="1">
        <v>618</v>
      </c>
      <c r="Y967" s="1" t="s">
        <v>5733</v>
      </c>
      <c r="Z967" s="1" t="s">
        <v>128</v>
      </c>
      <c r="AA967" s="12">
        <v>43146</v>
      </c>
      <c r="AB967" s="1" t="s">
        <v>2860</v>
      </c>
      <c r="AC967" s="1" t="s">
        <v>2861</v>
      </c>
      <c r="AD967" s="1" t="s">
        <v>49</v>
      </c>
      <c r="AE967" s="1" t="s">
        <v>57</v>
      </c>
      <c r="AG967" s="1">
        <v>8397290</v>
      </c>
    </row>
    <row r="968" spans="3:33" s="1" customFormat="1" x14ac:dyDescent="0.25">
      <c r="C968" s="1" t="s">
        <v>5734</v>
      </c>
      <c r="D968" s="1" t="s">
        <v>5727</v>
      </c>
      <c r="E968" s="1" t="s">
        <v>5735</v>
      </c>
      <c r="F968" s="13" t="s">
        <v>6952</v>
      </c>
      <c r="G968" s="1" t="s">
        <v>5736</v>
      </c>
      <c r="H968" s="1" t="s">
        <v>5730</v>
      </c>
      <c r="I968" s="1">
        <v>160</v>
      </c>
      <c r="J968" s="1" t="s">
        <v>46</v>
      </c>
      <c r="M968" s="1" t="s">
        <v>2310</v>
      </c>
      <c r="N968" s="1" t="s">
        <v>48</v>
      </c>
      <c r="O968" s="9">
        <v>24</v>
      </c>
      <c r="P968" s="1">
        <f>ROUNDUP(1023.9*(1-$F$3),2)</f>
        <v>1023.9</v>
      </c>
      <c r="Q968" s="1" t="s">
        <v>49</v>
      </c>
      <c r="R968" s="1" t="s">
        <v>5737</v>
      </c>
      <c r="S968" s="1" t="s">
        <v>5738</v>
      </c>
      <c r="T968" s="9">
        <v>10</v>
      </c>
      <c r="U968" s="1">
        <f>ROUNDUP(930.82*(1-$F$3),2)</f>
        <v>930.82</v>
      </c>
      <c r="V968" s="1">
        <v>581</v>
      </c>
      <c r="W968" s="1" t="s">
        <v>5739</v>
      </c>
      <c r="X968" s="1" t="s">
        <v>5740</v>
      </c>
      <c r="Y968" s="1" t="s">
        <v>5741</v>
      </c>
      <c r="Z968" s="1" t="s">
        <v>128</v>
      </c>
      <c r="AA968" s="12">
        <v>42247</v>
      </c>
      <c r="AB968" s="1" t="s">
        <v>2860</v>
      </c>
      <c r="AC968" s="1" t="s">
        <v>2861</v>
      </c>
      <c r="AD968" s="1" t="s">
        <v>5742</v>
      </c>
      <c r="AE968" s="1" t="s">
        <v>57</v>
      </c>
      <c r="AG968" s="1">
        <v>7001210</v>
      </c>
    </row>
    <row r="969" spans="3:33" s="1" customFormat="1" x14ac:dyDescent="0.25">
      <c r="C969" s="1" t="s">
        <v>5743</v>
      </c>
      <c r="D969" s="1" t="s">
        <v>5744</v>
      </c>
      <c r="E969" s="1" t="s">
        <v>5745</v>
      </c>
      <c r="F969" s="13" t="s">
        <v>6952</v>
      </c>
      <c r="G969" s="1" t="s">
        <v>5746</v>
      </c>
      <c r="H969" s="1" t="s">
        <v>82</v>
      </c>
      <c r="I969" s="1">
        <v>256</v>
      </c>
      <c r="J969" s="1" t="s">
        <v>46</v>
      </c>
      <c r="M969" s="1" t="s">
        <v>169</v>
      </c>
      <c r="N969" s="1" t="s">
        <v>48</v>
      </c>
      <c r="O969" s="9">
        <v>6</v>
      </c>
      <c r="P969" s="1">
        <f>ROUNDUP(1400*(1-$F$3),2)</f>
        <v>1400</v>
      </c>
      <c r="Q969" s="1" t="s">
        <v>49</v>
      </c>
      <c r="R969" s="1" t="s">
        <v>5747</v>
      </c>
      <c r="S969" s="1" t="s">
        <v>5748</v>
      </c>
      <c r="T969" s="9">
        <v>10</v>
      </c>
      <c r="U969" s="1">
        <f>ROUNDUP(1272.73*(1-$F$3),2)</f>
        <v>1272.73</v>
      </c>
      <c r="V969" s="1">
        <v>696</v>
      </c>
      <c r="Y969" s="1" t="s">
        <v>5749</v>
      </c>
      <c r="Z969" s="1" t="s">
        <v>53</v>
      </c>
      <c r="AA969" s="12">
        <v>44727</v>
      </c>
      <c r="AB969" s="1" t="s">
        <v>95</v>
      </c>
      <c r="AC969" s="1" t="s">
        <v>313</v>
      </c>
      <c r="AD969" s="1" t="s">
        <v>2410</v>
      </c>
      <c r="AE969" s="1" t="s">
        <v>69</v>
      </c>
      <c r="AG969" s="1">
        <v>10369200</v>
      </c>
    </row>
    <row r="970" spans="3:33" s="1" customFormat="1" x14ac:dyDescent="0.25">
      <c r="C970" s="1" t="s">
        <v>5750</v>
      </c>
      <c r="D970" s="1" t="s">
        <v>5751</v>
      </c>
      <c r="E970" s="1" t="s">
        <v>2342</v>
      </c>
      <c r="F970" s="13" t="s">
        <v>6952</v>
      </c>
      <c r="G970" s="1" t="s">
        <v>2343</v>
      </c>
      <c r="H970" s="1" t="s">
        <v>61</v>
      </c>
      <c r="I970" s="1">
        <v>272</v>
      </c>
      <c r="J970" s="1" t="s">
        <v>46</v>
      </c>
      <c r="M970" s="1" t="s">
        <v>835</v>
      </c>
      <c r="N970" s="1" t="s">
        <v>48</v>
      </c>
      <c r="O970" s="9">
        <v>12</v>
      </c>
      <c r="P970" s="1">
        <f>ROUNDUP(1000*(1-$F$3),2)</f>
        <v>1000</v>
      </c>
      <c r="Q970" s="1" t="s">
        <v>49</v>
      </c>
      <c r="R970" s="1" t="s">
        <v>5752</v>
      </c>
      <c r="S970" s="1" t="s">
        <v>5753</v>
      </c>
      <c r="T970" s="9">
        <v>10</v>
      </c>
      <c r="U970" s="1">
        <f>ROUNDUP(909.09*(1-$F$3),2)</f>
        <v>909.09</v>
      </c>
      <c r="V970" s="1">
        <v>394</v>
      </c>
      <c r="Y970" s="1" t="s">
        <v>2346</v>
      </c>
      <c r="Z970" s="1" t="s">
        <v>53</v>
      </c>
      <c r="AA970" s="12">
        <v>42572</v>
      </c>
      <c r="AB970" s="1" t="s">
        <v>66</v>
      </c>
      <c r="AC970" s="1" t="s">
        <v>143</v>
      </c>
      <c r="AD970" s="1" t="s">
        <v>847</v>
      </c>
      <c r="AE970" s="1" t="s">
        <v>69</v>
      </c>
      <c r="AG970" s="1">
        <v>7666990</v>
      </c>
    </row>
    <row r="971" spans="3:33" s="1" customFormat="1" x14ac:dyDescent="0.25">
      <c r="C971" s="1" t="s">
        <v>5754</v>
      </c>
      <c r="D971" s="1" t="s">
        <v>5755</v>
      </c>
      <c r="E971" s="1" t="s">
        <v>5756</v>
      </c>
      <c r="F971" s="13" t="s">
        <v>6952</v>
      </c>
      <c r="G971" s="1" t="s">
        <v>5757</v>
      </c>
      <c r="H971" s="1" t="s">
        <v>82</v>
      </c>
      <c r="I971" s="1">
        <v>174</v>
      </c>
      <c r="J971" s="1" t="s">
        <v>46</v>
      </c>
      <c r="M971" s="1" t="s">
        <v>3298</v>
      </c>
      <c r="N971" s="1" t="s">
        <v>48</v>
      </c>
      <c r="O971" s="9">
        <v>18</v>
      </c>
      <c r="P971" s="1">
        <f>ROUNDUP(1020*(1-$F$3),2)</f>
        <v>1020</v>
      </c>
      <c r="Q971" s="1" t="s">
        <v>49</v>
      </c>
      <c r="R971" s="1" t="s">
        <v>5758</v>
      </c>
      <c r="S971" s="1" t="s">
        <v>5759</v>
      </c>
      <c r="T971" s="9">
        <v>10</v>
      </c>
      <c r="U971" s="1">
        <f>ROUNDUP(927.27*(1-$F$3),2)</f>
        <v>927.27</v>
      </c>
      <c r="V971" s="1">
        <v>411</v>
      </c>
      <c r="Y971" s="1" t="s">
        <v>5760</v>
      </c>
      <c r="Z971" s="1" t="s">
        <v>128</v>
      </c>
      <c r="AA971" s="12">
        <v>42660</v>
      </c>
      <c r="AB971" s="1" t="s">
        <v>573</v>
      </c>
      <c r="AC971" s="1" t="s">
        <v>66</v>
      </c>
      <c r="AD971" s="1" t="s">
        <v>2738</v>
      </c>
      <c r="AE971" s="1" t="s">
        <v>49</v>
      </c>
      <c r="AG971" s="1">
        <v>7821320</v>
      </c>
    </row>
    <row r="972" spans="3:33" s="1" customFormat="1" x14ac:dyDescent="0.25">
      <c r="C972" s="1" t="s">
        <v>5761</v>
      </c>
      <c r="D972" s="1" t="s">
        <v>5762</v>
      </c>
      <c r="E972" s="1" t="s">
        <v>5763</v>
      </c>
      <c r="F972" s="13" t="s">
        <v>6952</v>
      </c>
      <c r="G972" s="1" t="s">
        <v>5764</v>
      </c>
      <c r="H972" s="1" t="s">
        <v>160</v>
      </c>
      <c r="I972" s="1">
        <v>275</v>
      </c>
      <c r="J972" s="1" t="s">
        <v>46</v>
      </c>
      <c r="K972" s="1" t="s">
        <v>1417</v>
      </c>
      <c r="M972" s="1" t="s">
        <v>1061</v>
      </c>
      <c r="N972" s="1" t="s">
        <v>139</v>
      </c>
      <c r="O972" s="9">
        <v>14</v>
      </c>
      <c r="P972" s="1">
        <f>ROUNDUP(890*(1-$F$3),2)</f>
        <v>890</v>
      </c>
      <c r="Q972" s="1" t="s">
        <v>49</v>
      </c>
      <c r="R972" s="1" t="s">
        <v>5765</v>
      </c>
      <c r="S972" s="1" t="s">
        <v>5766</v>
      </c>
      <c r="T972" s="9">
        <v>10</v>
      </c>
      <c r="U972" s="1">
        <f>ROUNDUP(809.09*(1-$F$3),2)</f>
        <v>809.09</v>
      </c>
      <c r="V972" s="1">
        <v>247</v>
      </c>
      <c r="Y972" s="1" t="s">
        <v>5767</v>
      </c>
      <c r="Z972" s="1" t="s">
        <v>128</v>
      </c>
      <c r="AA972" s="12">
        <v>43693</v>
      </c>
      <c r="AB972" s="1" t="s">
        <v>95</v>
      </c>
      <c r="AC972" s="1" t="s">
        <v>96</v>
      </c>
      <c r="AD972" s="1" t="s">
        <v>3108</v>
      </c>
      <c r="AE972" s="1" t="s">
        <v>69</v>
      </c>
      <c r="AG972" s="1">
        <v>9114200</v>
      </c>
    </row>
    <row r="973" spans="3:33" s="1" customFormat="1" x14ac:dyDescent="0.25">
      <c r="C973" s="1" t="s">
        <v>5768</v>
      </c>
      <c r="D973" s="1" t="s">
        <v>5769</v>
      </c>
      <c r="E973" s="1" t="s">
        <v>5770</v>
      </c>
      <c r="F973" s="13" t="s">
        <v>6952</v>
      </c>
      <c r="G973" s="1" t="s">
        <v>5771</v>
      </c>
      <c r="H973" s="1" t="s">
        <v>160</v>
      </c>
      <c r="I973" s="1">
        <v>352</v>
      </c>
      <c r="J973" s="1" t="s">
        <v>46</v>
      </c>
      <c r="M973" s="1" t="s">
        <v>47</v>
      </c>
      <c r="N973" s="1" t="s">
        <v>48</v>
      </c>
      <c r="O973" s="9">
        <v>10</v>
      </c>
      <c r="P973" s="1">
        <f>ROUNDUP(1040*(1-$F$3),2)</f>
        <v>1040</v>
      </c>
      <c r="Q973" s="1" t="s">
        <v>49</v>
      </c>
      <c r="R973" s="1" t="s">
        <v>5772</v>
      </c>
      <c r="S973" s="1" t="s">
        <v>5773</v>
      </c>
      <c r="T973" s="9">
        <v>10</v>
      </c>
      <c r="U973" s="1">
        <f>ROUNDUP(945.45*(1-$F$3),2)</f>
        <v>945.45</v>
      </c>
      <c r="V973" s="1">
        <v>354</v>
      </c>
      <c r="Y973" s="1" t="s">
        <v>5774</v>
      </c>
      <c r="Z973" s="1" t="s">
        <v>53</v>
      </c>
      <c r="AA973" s="12">
        <v>44096</v>
      </c>
      <c r="AB973" s="1" t="s">
        <v>95</v>
      </c>
      <c r="AC973" s="1" t="s">
        <v>96</v>
      </c>
      <c r="AD973" s="1" t="s">
        <v>5775</v>
      </c>
      <c r="AE973" s="1" t="s">
        <v>69</v>
      </c>
      <c r="AG973" s="1">
        <v>9490510</v>
      </c>
    </row>
    <row r="974" spans="3:33" s="1" customFormat="1" x14ac:dyDescent="0.25">
      <c r="C974" s="1" t="s">
        <v>5776</v>
      </c>
      <c r="D974" s="1" t="s">
        <v>5769</v>
      </c>
      <c r="E974" s="1" t="s">
        <v>5777</v>
      </c>
      <c r="F974" s="13" t="s">
        <v>6952</v>
      </c>
      <c r="G974" s="1" t="s">
        <v>5778</v>
      </c>
      <c r="H974" s="1" t="s">
        <v>160</v>
      </c>
      <c r="I974" s="1">
        <v>192</v>
      </c>
      <c r="J974" s="1" t="s">
        <v>46</v>
      </c>
      <c r="M974" s="1" t="s">
        <v>176</v>
      </c>
      <c r="N974" s="1" t="s">
        <v>48</v>
      </c>
      <c r="O974" s="9">
        <v>16</v>
      </c>
      <c r="P974" s="1">
        <f>ROUNDUP(927.3*(1-$F$3),2)</f>
        <v>927.3</v>
      </c>
      <c r="Q974" s="1" t="s">
        <v>49</v>
      </c>
      <c r="R974" s="1" t="s">
        <v>5779</v>
      </c>
      <c r="S974" s="1" t="s">
        <v>5780</v>
      </c>
      <c r="T974" s="9">
        <v>10</v>
      </c>
      <c r="U974" s="1">
        <f>ROUNDUP(843*(1-$F$3),2)</f>
        <v>843</v>
      </c>
      <c r="V974" s="1">
        <v>297</v>
      </c>
      <c r="Y974" s="1" t="s">
        <v>5781</v>
      </c>
      <c r="Z974" s="1" t="s">
        <v>76</v>
      </c>
      <c r="AA974" s="12">
        <v>44129</v>
      </c>
      <c r="AB974" s="1" t="s">
        <v>66</v>
      </c>
      <c r="AC974" s="1" t="s">
        <v>143</v>
      </c>
      <c r="AD974" s="1" t="s">
        <v>144</v>
      </c>
      <c r="AE974" s="1" t="s">
        <v>69</v>
      </c>
      <c r="AG974" s="1">
        <v>9521750</v>
      </c>
    </row>
    <row r="975" spans="3:33" s="1" customFormat="1" x14ac:dyDescent="0.25">
      <c r="C975" s="1" t="s">
        <v>5782</v>
      </c>
      <c r="D975" s="1" t="s">
        <v>5769</v>
      </c>
      <c r="E975" s="1" t="s">
        <v>5783</v>
      </c>
      <c r="F975" s="13" t="s">
        <v>6952</v>
      </c>
      <c r="G975" s="1" t="s">
        <v>5784</v>
      </c>
      <c r="H975" s="1" t="s">
        <v>160</v>
      </c>
      <c r="I975" s="1">
        <v>208</v>
      </c>
      <c r="J975" s="1" t="s">
        <v>46</v>
      </c>
      <c r="M975" s="1" t="s">
        <v>756</v>
      </c>
      <c r="N975" s="1" t="s">
        <v>48</v>
      </c>
      <c r="O975" s="9">
        <v>16</v>
      </c>
      <c r="P975" s="1">
        <f>ROUNDUP(990*(1-$F$3),2)</f>
        <v>990</v>
      </c>
      <c r="Q975" s="1" t="s">
        <v>49</v>
      </c>
      <c r="R975" s="1" t="s">
        <v>5785</v>
      </c>
      <c r="S975" s="1" t="s">
        <v>5786</v>
      </c>
      <c r="T975" s="9">
        <v>10</v>
      </c>
      <c r="U975" s="1">
        <f>ROUNDUP(900*(1-$F$3),2)</f>
        <v>900</v>
      </c>
      <c r="V975" s="1">
        <v>264</v>
      </c>
      <c r="Y975" s="1" t="s">
        <v>5787</v>
      </c>
      <c r="Z975" s="1" t="s">
        <v>53</v>
      </c>
      <c r="AA975" s="12">
        <v>44251</v>
      </c>
      <c r="AB975" s="1" t="s">
        <v>334</v>
      </c>
      <c r="AC975" s="1" t="s">
        <v>627</v>
      </c>
      <c r="AD975" s="1" t="s">
        <v>930</v>
      </c>
      <c r="AE975" s="1" t="s">
        <v>69</v>
      </c>
      <c r="AG975" s="1">
        <v>9633490</v>
      </c>
    </row>
    <row r="976" spans="3:33" s="1" customFormat="1" x14ac:dyDescent="0.25">
      <c r="C976" s="1" t="s">
        <v>5788</v>
      </c>
      <c r="D976" s="1" t="s">
        <v>5769</v>
      </c>
      <c r="E976" s="1" t="s">
        <v>5789</v>
      </c>
      <c r="F976" s="13" t="s">
        <v>6952</v>
      </c>
      <c r="G976" s="1" t="s">
        <v>5790</v>
      </c>
      <c r="H976" s="1" t="s">
        <v>160</v>
      </c>
      <c r="I976" s="1">
        <v>320</v>
      </c>
      <c r="J976" s="1" t="s">
        <v>46</v>
      </c>
      <c r="M976" s="1" t="s">
        <v>47</v>
      </c>
      <c r="N976" s="1" t="s">
        <v>48</v>
      </c>
      <c r="O976" s="9">
        <v>5</v>
      </c>
      <c r="P976" s="1">
        <f>ROUNDUP(1160*(1-$F$3),2)</f>
        <v>1160</v>
      </c>
      <c r="Q976" s="1" t="s">
        <v>49</v>
      </c>
      <c r="R976" s="1" t="s">
        <v>5791</v>
      </c>
      <c r="S976" s="1" t="s">
        <v>5792</v>
      </c>
      <c r="T976" s="9">
        <v>10</v>
      </c>
      <c r="U976" s="1">
        <f>ROUNDUP(1054.55*(1-$F$3),2)</f>
        <v>1054.55</v>
      </c>
      <c r="V976" s="1">
        <v>365</v>
      </c>
      <c r="Y976" s="1" t="s">
        <v>5793</v>
      </c>
      <c r="Z976" s="1" t="s">
        <v>53</v>
      </c>
      <c r="AA976" s="12">
        <v>44392</v>
      </c>
      <c r="AB976" s="1" t="s">
        <v>95</v>
      </c>
      <c r="AC976" s="1" t="s">
        <v>96</v>
      </c>
      <c r="AD976" s="1" t="s">
        <v>1286</v>
      </c>
      <c r="AE976" s="1" t="s">
        <v>69</v>
      </c>
      <c r="AG976" s="1">
        <v>9731110</v>
      </c>
    </row>
    <row r="977" spans="3:33" s="1" customFormat="1" x14ac:dyDescent="0.25">
      <c r="C977" s="1" t="s">
        <v>5794</v>
      </c>
      <c r="D977" s="1" t="s">
        <v>5769</v>
      </c>
      <c r="E977" s="1" t="s">
        <v>5795</v>
      </c>
      <c r="F977" s="13" t="s">
        <v>6952</v>
      </c>
      <c r="G977" s="1" t="s">
        <v>5796</v>
      </c>
      <c r="H977" s="1" t="s">
        <v>524</v>
      </c>
      <c r="I977" s="1">
        <v>240</v>
      </c>
      <c r="J977" s="1" t="s">
        <v>46</v>
      </c>
      <c r="M977" s="1" t="s">
        <v>169</v>
      </c>
      <c r="N977" s="1" t="s">
        <v>139</v>
      </c>
      <c r="O977" s="9">
        <v>10</v>
      </c>
      <c r="P977" s="1">
        <f>ROUNDUP(890*(1-$F$3),2)</f>
        <v>890</v>
      </c>
      <c r="Q977" s="1" t="s">
        <v>49</v>
      </c>
      <c r="R977" s="1" t="s">
        <v>5797</v>
      </c>
      <c r="S977" s="1" t="s">
        <v>5798</v>
      </c>
      <c r="T977" s="9">
        <v>10</v>
      </c>
      <c r="U977" s="1">
        <f>ROUNDUP(809.09*(1-$F$3),2)</f>
        <v>809.09</v>
      </c>
      <c r="V977" s="1">
        <v>283</v>
      </c>
      <c r="Y977" s="1" t="s">
        <v>5799</v>
      </c>
      <c r="Z977" s="1" t="s">
        <v>53</v>
      </c>
      <c r="AA977" s="12">
        <v>44785</v>
      </c>
      <c r="AB977" s="1" t="s">
        <v>95</v>
      </c>
      <c r="AC977" s="1" t="s">
        <v>96</v>
      </c>
      <c r="AD977" s="1" t="s">
        <v>97</v>
      </c>
      <c r="AE977" s="1" t="s">
        <v>69</v>
      </c>
      <c r="AG977" s="1">
        <v>10497780</v>
      </c>
    </row>
    <row r="978" spans="3:33" s="1" customFormat="1" x14ac:dyDescent="0.25">
      <c r="C978" s="1" t="s">
        <v>5800</v>
      </c>
      <c r="D978" s="1" t="s">
        <v>5769</v>
      </c>
      <c r="E978" s="1" t="s">
        <v>5801</v>
      </c>
      <c r="F978" s="13" t="s">
        <v>6952</v>
      </c>
      <c r="G978" s="1" t="s">
        <v>5802</v>
      </c>
      <c r="H978" s="1" t="s">
        <v>160</v>
      </c>
      <c r="I978" s="1">
        <v>159</v>
      </c>
      <c r="J978" s="1" t="s">
        <v>46</v>
      </c>
      <c r="K978" s="1" t="s">
        <v>1417</v>
      </c>
      <c r="M978" s="1" t="s">
        <v>1061</v>
      </c>
      <c r="N978" s="1" t="s">
        <v>139</v>
      </c>
      <c r="O978" s="9">
        <v>28</v>
      </c>
      <c r="P978" s="1">
        <f>ROUNDUP(1120*(1-$F$3),2)</f>
        <v>1120</v>
      </c>
      <c r="Q978" s="1" t="s">
        <v>49</v>
      </c>
      <c r="R978" s="1" t="s">
        <v>5803</v>
      </c>
      <c r="S978" s="1" t="s">
        <v>5804</v>
      </c>
      <c r="T978" s="9">
        <v>10</v>
      </c>
      <c r="U978" s="1">
        <f>ROUNDUP(1018.18*(1-$F$3),2)</f>
        <v>1018.18</v>
      </c>
      <c r="V978" s="1">
        <v>149</v>
      </c>
      <c r="Y978" s="1" t="s">
        <v>5805</v>
      </c>
      <c r="Z978" s="1" t="s">
        <v>128</v>
      </c>
      <c r="AA978" s="12">
        <v>43527</v>
      </c>
      <c r="AB978" s="1" t="s">
        <v>95</v>
      </c>
      <c r="AC978" s="1" t="s">
        <v>96</v>
      </c>
      <c r="AD978" s="1" t="s">
        <v>1286</v>
      </c>
      <c r="AE978" s="1" t="s">
        <v>69</v>
      </c>
      <c r="AG978" s="1">
        <v>8907490</v>
      </c>
    </row>
    <row r="979" spans="3:33" s="1" customFormat="1" x14ac:dyDescent="0.25">
      <c r="C979" s="1" t="s">
        <v>5806</v>
      </c>
      <c r="D979" s="1" t="s">
        <v>5807</v>
      </c>
      <c r="E979" s="1" t="s">
        <v>5808</v>
      </c>
      <c r="F979" s="13" t="s">
        <v>6952</v>
      </c>
      <c r="G979" s="1" t="s">
        <v>91</v>
      </c>
      <c r="H979" s="1" t="s">
        <v>82</v>
      </c>
      <c r="I979" s="1">
        <v>512</v>
      </c>
      <c r="J979" s="1" t="s">
        <v>46</v>
      </c>
      <c r="M979" s="1" t="s">
        <v>47</v>
      </c>
      <c r="N979" s="1" t="s">
        <v>48</v>
      </c>
      <c r="O979" s="9">
        <v>5</v>
      </c>
      <c r="P979" s="1">
        <f>ROUNDUP(2090*(1-$F$3),2)</f>
        <v>2090</v>
      </c>
      <c r="Q979" s="1" t="s">
        <v>49</v>
      </c>
      <c r="R979" s="1" t="s">
        <v>5809</v>
      </c>
      <c r="S979" s="1" t="s">
        <v>5810</v>
      </c>
      <c r="T979" s="9">
        <v>22</v>
      </c>
      <c r="U979" s="1">
        <f>ROUNDUP(1713.11*(1-$F$3),2)</f>
        <v>1713.11</v>
      </c>
      <c r="V979" s="1">
        <v>806</v>
      </c>
      <c r="Y979" s="1" t="s">
        <v>5811</v>
      </c>
      <c r="Z979" s="1" t="s">
        <v>76</v>
      </c>
      <c r="AA979" s="12">
        <v>45694</v>
      </c>
      <c r="AB979" s="1" t="s">
        <v>95</v>
      </c>
      <c r="AC979" s="1" t="s">
        <v>96</v>
      </c>
      <c r="AD979" s="1" t="s">
        <v>97</v>
      </c>
      <c r="AE979" s="1" t="s">
        <v>69</v>
      </c>
      <c r="AG979" s="1">
        <v>11613220</v>
      </c>
    </row>
    <row r="980" spans="3:33" s="1" customFormat="1" x14ac:dyDescent="0.25">
      <c r="C980" s="1" t="s">
        <v>5812</v>
      </c>
      <c r="D980" s="1" t="s">
        <v>5807</v>
      </c>
      <c r="E980" s="1" t="s">
        <v>5813</v>
      </c>
      <c r="F980" s="13" t="s">
        <v>6952</v>
      </c>
      <c r="G980" s="1" t="s">
        <v>5814</v>
      </c>
      <c r="H980" s="1" t="s">
        <v>61</v>
      </c>
      <c r="I980" s="1">
        <v>448</v>
      </c>
      <c r="J980" s="1" t="s">
        <v>46</v>
      </c>
      <c r="M980" s="1" t="s">
        <v>176</v>
      </c>
      <c r="N980" s="1" t="s">
        <v>48</v>
      </c>
      <c r="O980" s="9">
        <v>6</v>
      </c>
      <c r="P980" s="1">
        <f>ROUNDUP(1230*(1-$F$3),2)</f>
        <v>1230</v>
      </c>
      <c r="Q980" s="1" t="s">
        <v>49</v>
      </c>
      <c r="R980" s="1" t="s">
        <v>5815</v>
      </c>
      <c r="S980" s="1" t="s">
        <v>5816</v>
      </c>
      <c r="T980" s="9">
        <v>10</v>
      </c>
      <c r="U980" s="1">
        <f>ROUNDUP(1118.18*(1-$F$3),2)</f>
        <v>1118.18</v>
      </c>
      <c r="V980" s="1">
        <v>519</v>
      </c>
      <c r="Y980" s="1" t="s">
        <v>5817</v>
      </c>
      <c r="Z980" s="1" t="s">
        <v>53</v>
      </c>
      <c r="AA980" s="12">
        <v>45230</v>
      </c>
      <c r="AB980" s="1" t="s">
        <v>95</v>
      </c>
      <c r="AC980" s="1" t="s">
        <v>112</v>
      </c>
      <c r="AD980" s="1" t="s">
        <v>536</v>
      </c>
      <c r="AE980" s="1" t="s">
        <v>69</v>
      </c>
      <c r="AG980" s="1">
        <v>11092870</v>
      </c>
    </row>
    <row r="981" spans="3:33" s="1" customFormat="1" x14ac:dyDescent="0.25">
      <c r="C981" s="1" t="s">
        <v>5818</v>
      </c>
      <c r="D981" s="1" t="s">
        <v>5807</v>
      </c>
      <c r="E981" s="1" t="s">
        <v>5819</v>
      </c>
      <c r="F981" s="13" t="s">
        <v>6952</v>
      </c>
      <c r="G981" s="1" t="s">
        <v>5820</v>
      </c>
      <c r="H981" s="1" t="s">
        <v>160</v>
      </c>
      <c r="I981" s="1">
        <v>352</v>
      </c>
      <c r="J981" s="1" t="s">
        <v>46</v>
      </c>
      <c r="M981" s="1" t="s">
        <v>47</v>
      </c>
      <c r="N981" s="1" t="s">
        <v>48</v>
      </c>
      <c r="O981" s="9">
        <v>5</v>
      </c>
      <c r="P981" s="1">
        <f>ROUNDUP(1160*(1-$F$3),2)</f>
        <v>1160</v>
      </c>
      <c r="Q981" s="1" t="s">
        <v>49</v>
      </c>
      <c r="R981" s="1" t="s">
        <v>5821</v>
      </c>
      <c r="S981" s="1" t="s">
        <v>5822</v>
      </c>
      <c r="T981" s="9">
        <v>10</v>
      </c>
      <c r="U981" s="1">
        <f>ROUNDUP(1054.55*(1-$F$3),2)</f>
        <v>1054.55</v>
      </c>
      <c r="V981" s="1">
        <v>392</v>
      </c>
      <c r="Y981" s="1" t="s">
        <v>5823</v>
      </c>
      <c r="Z981" s="1" t="s">
        <v>53</v>
      </c>
      <c r="AA981" s="12">
        <v>45670</v>
      </c>
      <c r="AB981" s="1" t="s">
        <v>95</v>
      </c>
      <c r="AC981" s="1" t="s">
        <v>96</v>
      </c>
      <c r="AD981" s="1" t="s">
        <v>5775</v>
      </c>
      <c r="AE981" s="1" t="s">
        <v>69</v>
      </c>
      <c r="AG981" s="1">
        <v>11613200</v>
      </c>
    </row>
    <row r="982" spans="3:33" s="1" customFormat="1" x14ac:dyDescent="0.25">
      <c r="C982" s="1" t="s">
        <v>5824</v>
      </c>
      <c r="D982" s="1" t="s">
        <v>5807</v>
      </c>
      <c r="E982" s="1" t="s">
        <v>5825</v>
      </c>
      <c r="F982" s="13" t="s">
        <v>6952</v>
      </c>
      <c r="G982" s="1" t="s">
        <v>5826</v>
      </c>
      <c r="H982" s="1" t="s">
        <v>160</v>
      </c>
      <c r="I982" s="1">
        <v>288</v>
      </c>
      <c r="J982" s="1" t="s">
        <v>46</v>
      </c>
      <c r="M982" s="1" t="s">
        <v>47</v>
      </c>
      <c r="N982" s="1" t="s">
        <v>48</v>
      </c>
      <c r="O982" s="9">
        <v>5</v>
      </c>
      <c r="P982" s="1">
        <f>ROUNDUP(1040*(1-$F$3),2)</f>
        <v>1040</v>
      </c>
      <c r="Q982" s="1" t="s">
        <v>49</v>
      </c>
      <c r="R982" s="1" t="s">
        <v>5827</v>
      </c>
      <c r="S982" s="1" t="s">
        <v>5828</v>
      </c>
      <c r="T982" s="9">
        <v>10</v>
      </c>
      <c r="U982" s="1">
        <f>ROUNDUP(945.45*(1-$F$3),2)</f>
        <v>945.45</v>
      </c>
      <c r="V982" s="1">
        <v>388</v>
      </c>
      <c r="Y982" s="1" t="s">
        <v>5829</v>
      </c>
      <c r="Z982" s="1" t="s">
        <v>53</v>
      </c>
      <c r="AA982" s="12">
        <v>45888</v>
      </c>
      <c r="AB982" s="1" t="s">
        <v>95</v>
      </c>
      <c r="AC982" s="1" t="s">
        <v>96</v>
      </c>
      <c r="AD982" s="1" t="s">
        <v>1286</v>
      </c>
      <c r="AE982" s="1" t="s">
        <v>69</v>
      </c>
      <c r="AG982" s="1">
        <v>11844490</v>
      </c>
    </row>
    <row r="983" spans="3:33" s="1" customFormat="1" x14ac:dyDescent="0.25">
      <c r="C983" s="1" t="s">
        <v>5830</v>
      </c>
      <c r="D983" s="1" t="s">
        <v>5807</v>
      </c>
      <c r="E983" s="1" t="s">
        <v>5831</v>
      </c>
      <c r="F983" s="13" t="s">
        <v>6952</v>
      </c>
      <c r="G983" s="1" t="s">
        <v>91</v>
      </c>
      <c r="H983" s="1" t="s">
        <v>82</v>
      </c>
      <c r="I983" s="1">
        <v>768</v>
      </c>
      <c r="J983" s="1" t="s">
        <v>46</v>
      </c>
      <c r="M983" s="1" t="s">
        <v>47</v>
      </c>
      <c r="N983" s="1" t="s">
        <v>48</v>
      </c>
      <c r="O983" s="9">
        <v>3</v>
      </c>
      <c r="P983" s="1">
        <f>ROUNDUP(2090*(1-$F$3),2)</f>
        <v>2090</v>
      </c>
      <c r="Q983" s="1" t="s">
        <v>49</v>
      </c>
      <c r="R983" s="1" t="s">
        <v>5832</v>
      </c>
      <c r="S983" s="1" t="s">
        <v>5833</v>
      </c>
      <c r="T983" s="9">
        <v>22</v>
      </c>
      <c r="U983" s="1">
        <f>ROUNDUP(1713.11*(1-$F$3),2)</f>
        <v>1713.11</v>
      </c>
      <c r="V983" s="1">
        <v>1129</v>
      </c>
      <c r="Y983" s="1" t="s">
        <v>5834</v>
      </c>
      <c r="Z983" s="1" t="s">
        <v>76</v>
      </c>
      <c r="AA983" s="12">
        <v>45694</v>
      </c>
      <c r="AB983" s="1" t="s">
        <v>95</v>
      </c>
      <c r="AC983" s="1" t="s">
        <v>96</v>
      </c>
      <c r="AD983" s="1" t="s">
        <v>97</v>
      </c>
      <c r="AE983" s="1" t="s">
        <v>69</v>
      </c>
      <c r="AG983" s="1">
        <v>11613210</v>
      </c>
    </row>
    <row r="984" spans="3:33" s="1" customFormat="1" x14ac:dyDescent="0.25">
      <c r="C984" s="1" t="s">
        <v>5835</v>
      </c>
      <c r="D984" s="1" t="s">
        <v>5836</v>
      </c>
      <c r="E984" s="1" t="s">
        <v>5837</v>
      </c>
      <c r="F984" s="13" t="s">
        <v>6952</v>
      </c>
      <c r="G984" s="1" t="s">
        <v>5838</v>
      </c>
      <c r="H984" s="1" t="s">
        <v>724</v>
      </c>
      <c r="I984" s="1">
        <v>512</v>
      </c>
      <c r="J984" s="1" t="s">
        <v>46</v>
      </c>
      <c r="M984" s="1" t="s">
        <v>835</v>
      </c>
      <c r="N984" s="1" t="s">
        <v>48</v>
      </c>
      <c r="O984" s="9">
        <v>4</v>
      </c>
      <c r="P984" s="1">
        <f>ROUNDUP(1770*(1-$F$3),2)</f>
        <v>1770</v>
      </c>
      <c r="Q984" s="1" t="s">
        <v>49</v>
      </c>
      <c r="R984" s="1" t="s">
        <v>5839</v>
      </c>
      <c r="S984" s="1" t="s">
        <v>5840</v>
      </c>
      <c r="T984" s="9">
        <v>10</v>
      </c>
      <c r="U984" s="1">
        <f>ROUNDUP(1609.09*(1-$F$3),2)</f>
        <v>1609.09</v>
      </c>
      <c r="V984" s="1">
        <v>1103</v>
      </c>
      <c r="Y984" s="1" t="s">
        <v>5841</v>
      </c>
      <c r="Z984" s="1" t="s">
        <v>53</v>
      </c>
      <c r="AA984" s="12">
        <v>43957</v>
      </c>
      <c r="AB984" s="1" t="s">
        <v>66</v>
      </c>
      <c r="AC984" s="1" t="s">
        <v>67</v>
      </c>
      <c r="AD984" s="1" t="s">
        <v>180</v>
      </c>
      <c r="AE984" s="1" t="s">
        <v>69</v>
      </c>
      <c r="AG984" s="1">
        <v>9366990</v>
      </c>
    </row>
    <row r="985" spans="3:33" s="1" customFormat="1" x14ac:dyDescent="0.25">
      <c r="C985" s="1" t="s">
        <v>5842</v>
      </c>
      <c r="D985" s="1" t="s">
        <v>5843</v>
      </c>
      <c r="E985" s="1" t="s">
        <v>5844</v>
      </c>
      <c r="F985" s="13" t="s">
        <v>6952</v>
      </c>
      <c r="G985" s="1" t="s">
        <v>5845</v>
      </c>
      <c r="H985" s="1" t="s">
        <v>82</v>
      </c>
      <c r="I985" s="1">
        <v>160</v>
      </c>
      <c r="J985" s="1" t="s">
        <v>46</v>
      </c>
      <c r="M985" s="1" t="s">
        <v>176</v>
      </c>
      <c r="N985" s="1" t="s">
        <v>48</v>
      </c>
      <c r="O985" s="9">
        <v>8</v>
      </c>
      <c r="P985" s="1">
        <f>ROUNDUP(1590*(1-$F$3),2)</f>
        <v>1590</v>
      </c>
      <c r="Q985" s="1" t="s">
        <v>49</v>
      </c>
      <c r="R985" s="1" t="s">
        <v>5846</v>
      </c>
      <c r="S985" s="1" t="s">
        <v>5847</v>
      </c>
      <c r="T985" s="9">
        <v>10</v>
      </c>
      <c r="U985" s="1">
        <f>ROUNDUP(1445.45*(1-$F$3),2)</f>
        <v>1445.45</v>
      </c>
      <c r="V985" s="1">
        <v>467</v>
      </c>
      <c r="Y985" s="1" t="s">
        <v>5848</v>
      </c>
      <c r="Z985" s="1" t="s">
        <v>128</v>
      </c>
      <c r="AA985" s="12">
        <v>45483</v>
      </c>
      <c r="AB985" s="1" t="s">
        <v>445</v>
      </c>
      <c r="AC985" s="1" t="s">
        <v>737</v>
      </c>
      <c r="AD985" s="1" t="s">
        <v>5849</v>
      </c>
      <c r="AE985" s="1" t="s">
        <v>69</v>
      </c>
      <c r="AG985" s="1">
        <v>11339120</v>
      </c>
    </row>
    <row r="986" spans="3:33" s="1" customFormat="1" x14ac:dyDescent="0.25">
      <c r="C986" s="1" t="s">
        <v>5850</v>
      </c>
      <c r="D986" s="1" t="s">
        <v>5843</v>
      </c>
      <c r="E986" s="1" t="s">
        <v>5851</v>
      </c>
      <c r="F986" s="13" t="s">
        <v>6952</v>
      </c>
      <c r="G986" s="1" t="s">
        <v>5852</v>
      </c>
      <c r="H986" s="1" t="s">
        <v>82</v>
      </c>
      <c r="I986" s="1">
        <v>272</v>
      </c>
      <c r="J986" s="1" t="s">
        <v>46</v>
      </c>
      <c r="M986" s="1" t="s">
        <v>161</v>
      </c>
      <c r="N986" s="1" t="s">
        <v>48</v>
      </c>
      <c r="O986" s="9">
        <v>8</v>
      </c>
      <c r="P986" s="1">
        <f>ROUNDUP(2100*(1-$F$3),2)</f>
        <v>2100</v>
      </c>
      <c r="Q986" s="1" t="s">
        <v>49</v>
      </c>
      <c r="R986" s="1" t="s">
        <v>5853</v>
      </c>
      <c r="S986" s="1" t="s">
        <v>5854</v>
      </c>
      <c r="T986" s="9">
        <v>10</v>
      </c>
      <c r="U986" s="1">
        <f>ROUNDUP(1909.09*(1-$F$3),2)</f>
        <v>1909.09</v>
      </c>
      <c r="V986" s="1">
        <v>781</v>
      </c>
      <c r="Y986" s="1" t="s">
        <v>5855</v>
      </c>
      <c r="Z986" s="1" t="s">
        <v>128</v>
      </c>
      <c r="AA986" s="12">
        <v>45115</v>
      </c>
      <c r="AB986" s="1" t="s">
        <v>445</v>
      </c>
      <c r="AC986" s="1" t="s">
        <v>737</v>
      </c>
      <c r="AD986" s="1" t="s">
        <v>5849</v>
      </c>
      <c r="AE986" s="1" t="s">
        <v>57</v>
      </c>
      <c r="AG986" s="1">
        <v>10945380</v>
      </c>
    </row>
    <row r="987" spans="3:33" s="1" customFormat="1" x14ac:dyDescent="0.25">
      <c r="C987" s="1" t="s">
        <v>5856</v>
      </c>
      <c r="D987" s="1" t="s">
        <v>5843</v>
      </c>
      <c r="E987" s="1" t="s">
        <v>5857</v>
      </c>
      <c r="F987" s="13" t="s">
        <v>6952</v>
      </c>
      <c r="G987" s="1" t="s">
        <v>5858</v>
      </c>
      <c r="H987" s="1" t="s">
        <v>82</v>
      </c>
      <c r="I987" s="1">
        <v>192</v>
      </c>
      <c r="J987" s="1" t="s">
        <v>46</v>
      </c>
      <c r="M987" s="1" t="s">
        <v>176</v>
      </c>
      <c r="N987" s="1" t="s">
        <v>48</v>
      </c>
      <c r="O987" s="9">
        <v>8</v>
      </c>
      <c r="P987" s="1">
        <f>ROUNDUP(1540*(1-$F$3),2)</f>
        <v>1540</v>
      </c>
      <c r="Q987" s="1" t="s">
        <v>49</v>
      </c>
      <c r="R987" s="1" t="s">
        <v>5859</v>
      </c>
      <c r="S987" s="1" t="s">
        <v>5860</v>
      </c>
      <c r="T987" s="9">
        <v>10</v>
      </c>
      <c r="U987" s="1">
        <f>ROUNDUP(1400*(1-$F$3),2)</f>
        <v>1400</v>
      </c>
      <c r="V987" s="1">
        <v>522</v>
      </c>
      <c r="Y987" s="1" t="s">
        <v>5861</v>
      </c>
      <c r="Z987" s="1" t="s">
        <v>128</v>
      </c>
      <c r="AA987" s="12">
        <v>45351</v>
      </c>
      <c r="AB987" s="1" t="s">
        <v>445</v>
      </c>
      <c r="AC987" s="1" t="s">
        <v>737</v>
      </c>
      <c r="AD987" s="1" t="s">
        <v>5849</v>
      </c>
      <c r="AE987" s="1" t="s">
        <v>57</v>
      </c>
      <c r="AG987" s="1">
        <v>11213370</v>
      </c>
    </row>
    <row r="988" spans="3:33" s="1" customFormat="1" x14ac:dyDescent="0.25">
      <c r="C988" s="1" t="s">
        <v>5862</v>
      </c>
      <c r="D988" s="1" t="s">
        <v>5843</v>
      </c>
      <c r="E988" s="1" t="s">
        <v>5863</v>
      </c>
      <c r="F988" s="13" t="s">
        <v>6952</v>
      </c>
      <c r="G988" s="1" t="s">
        <v>5864</v>
      </c>
      <c r="H988" s="1" t="s">
        <v>82</v>
      </c>
      <c r="I988" s="1">
        <v>256</v>
      </c>
      <c r="J988" s="1" t="s">
        <v>46</v>
      </c>
      <c r="M988" s="1" t="s">
        <v>176</v>
      </c>
      <c r="N988" s="1" t="s">
        <v>48</v>
      </c>
      <c r="O988" s="9">
        <v>6</v>
      </c>
      <c r="P988" s="1">
        <f>ROUNDUP(1930*(1-$F$3),2)</f>
        <v>1930</v>
      </c>
      <c r="Q988" s="1" t="s">
        <v>49</v>
      </c>
      <c r="R988" s="1" t="s">
        <v>5865</v>
      </c>
      <c r="S988" s="1" t="s">
        <v>5866</v>
      </c>
      <c r="T988" s="9">
        <v>10</v>
      </c>
      <c r="U988" s="1">
        <f>ROUNDUP(1754.55*(1-$F$3),2)</f>
        <v>1754.55</v>
      </c>
      <c r="V988" s="1">
        <v>729</v>
      </c>
      <c r="Y988" s="1" t="s">
        <v>5867</v>
      </c>
      <c r="Z988" s="1" t="s">
        <v>128</v>
      </c>
      <c r="AA988" s="12">
        <v>45404</v>
      </c>
      <c r="AB988" s="1" t="s">
        <v>445</v>
      </c>
      <c r="AC988" s="1" t="s">
        <v>737</v>
      </c>
      <c r="AD988" s="1" t="s">
        <v>5849</v>
      </c>
      <c r="AE988" s="1" t="s">
        <v>57</v>
      </c>
      <c r="AG988" s="1">
        <v>11264620</v>
      </c>
    </row>
    <row r="989" spans="3:33" s="1" customFormat="1" x14ac:dyDescent="0.25">
      <c r="C989" s="1" t="s">
        <v>5868</v>
      </c>
      <c r="D989" s="1" t="s">
        <v>5843</v>
      </c>
      <c r="E989" s="1" t="s">
        <v>5869</v>
      </c>
      <c r="F989" s="13" t="s">
        <v>6952</v>
      </c>
      <c r="G989" s="1" t="s">
        <v>5870</v>
      </c>
      <c r="H989" s="1" t="s">
        <v>82</v>
      </c>
      <c r="I989" s="1">
        <v>112</v>
      </c>
      <c r="J989" s="1" t="s">
        <v>46</v>
      </c>
      <c r="M989" s="1" t="s">
        <v>176</v>
      </c>
      <c r="N989" s="1" t="s">
        <v>48</v>
      </c>
      <c r="O989" s="9">
        <v>10</v>
      </c>
      <c r="P989" s="1">
        <f>ROUNDUP(1380*(1-$F$3),2)</f>
        <v>1380</v>
      </c>
      <c r="Q989" s="1" t="s">
        <v>49</v>
      </c>
      <c r="R989" s="1" t="s">
        <v>5871</v>
      </c>
      <c r="S989" s="1" t="s">
        <v>5872</v>
      </c>
      <c r="T989" s="9">
        <v>10</v>
      </c>
      <c r="U989" s="1">
        <f>ROUNDUP(1254.55*(1-$F$3),2)</f>
        <v>1254.55</v>
      </c>
      <c r="V989" s="1">
        <v>421</v>
      </c>
      <c r="Y989" s="1" t="s">
        <v>5873</v>
      </c>
      <c r="Z989" s="1" t="s">
        <v>53</v>
      </c>
      <c r="AA989" s="12">
        <v>45860</v>
      </c>
      <c r="AB989" s="1" t="s">
        <v>445</v>
      </c>
      <c r="AC989" s="1" t="s">
        <v>737</v>
      </c>
      <c r="AD989" s="1" t="s">
        <v>5849</v>
      </c>
      <c r="AE989" s="1" t="s">
        <v>57</v>
      </c>
      <c r="AG989" s="1">
        <v>11775720</v>
      </c>
    </row>
    <row r="990" spans="3:33" s="1" customFormat="1" x14ac:dyDescent="0.25">
      <c r="C990" s="1" t="s">
        <v>5874</v>
      </c>
      <c r="D990" s="1" t="s">
        <v>5843</v>
      </c>
      <c r="E990" s="1" t="s">
        <v>5875</v>
      </c>
      <c r="F990" s="13" t="s">
        <v>6952</v>
      </c>
      <c r="G990" s="1" t="s">
        <v>5864</v>
      </c>
      <c r="H990" s="1" t="s">
        <v>82</v>
      </c>
      <c r="I990" s="1">
        <v>224</v>
      </c>
      <c r="J990" s="1" t="s">
        <v>46</v>
      </c>
      <c r="M990" s="1" t="s">
        <v>47</v>
      </c>
      <c r="N990" s="1" t="s">
        <v>48</v>
      </c>
      <c r="O990" s="9">
        <v>8</v>
      </c>
      <c r="P990" s="1">
        <f>ROUNDUP(2290*(1-$F$3),2)</f>
        <v>2290</v>
      </c>
      <c r="Q990" s="1" t="s">
        <v>49</v>
      </c>
      <c r="R990" s="1" t="s">
        <v>5876</v>
      </c>
      <c r="S990" s="1" t="s">
        <v>5877</v>
      </c>
      <c r="T990" s="9">
        <v>10</v>
      </c>
      <c r="U990" s="1">
        <f>ROUNDUP(2081.82*(1-$F$3),2)</f>
        <v>2081.8200000000002</v>
      </c>
      <c r="V990" s="1">
        <v>601</v>
      </c>
      <c r="Y990" s="1" t="s">
        <v>5878</v>
      </c>
      <c r="Z990" s="1" t="s">
        <v>128</v>
      </c>
      <c r="AA990" s="12">
        <v>45242</v>
      </c>
      <c r="AB990" s="1" t="s">
        <v>445</v>
      </c>
      <c r="AC990" s="1" t="s">
        <v>737</v>
      </c>
      <c r="AD990" s="1" t="s">
        <v>5849</v>
      </c>
      <c r="AE990" s="1" t="s">
        <v>57</v>
      </c>
      <c r="AG990" s="1">
        <v>11116470</v>
      </c>
    </row>
    <row r="991" spans="3:33" s="1" customFormat="1" x14ac:dyDescent="0.25">
      <c r="C991" s="1" t="s">
        <v>5879</v>
      </c>
      <c r="D991" s="1" t="s">
        <v>5843</v>
      </c>
      <c r="E991" s="1" t="s">
        <v>5880</v>
      </c>
      <c r="F991" s="13" t="s">
        <v>6952</v>
      </c>
      <c r="G991" s="1" t="s">
        <v>5864</v>
      </c>
      <c r="H991" s="1" t="s">
        <v>724</v>
      </c>
      <c r="I991" s="1">
        <v>416</v>
      </c>
      <c r="J991" s="1" t="s">
        <v>46</v>
      </c>
      <c r="M991" s="1" t="s">
        <v>47</v>
      </c>
      <c r="N991" s="1" t="s">
        <v>48</v>
      </c>
      <c r="O991" s="9">
        <v>4</v>
      </c>
      <c r="P991" s="1">
        <f>ROUNDUP(4030*(1-$F$3),2)</f>
        <v>4030</v>
      </c>
      <c r="Q991" s="1" t="s">
        <v>49</v>
      </c>
      <c r="R991" s="1" t="s">
        <v>5881</v>
      </c>
      <c r="S991" s="1" t="s">
        <v>5882</v>
      </c>
      <c r="T991" s="9">
        <v>10</v>
      </c>
      <c r="U991" s="1">
        <f>ROUNDUP(3663.64*(1-$F$3),2)</f>
        <v>3663.64</v>
      </c>
      <c r="V991" s="1">
        <v>1419</v>
      </c>
      <c r="Y991" s="1" t="s">
        <v>5883</v>
      </c>
      <c r="Z991" s="1" t="s">
        <v>1757</v>
      </c>
      <c r="AA991" s="12">
        <v>44019</v>
      </c>
      <c r="AB991" s="1" t="s">
        <v>445</v>
      </c>
      <c r="AC991" s="1" t="s">
        <v>737</v>
      </c>
      <c r="AD991" s="1" t="s">
        <v>5849</v>
      </c>
      <c r="AE991" s="1" t="s">
        <v>57</v>
      </c>
      <c r="AG991" s="1">
        <v>9379070</v>
      </c>
    </row>
    <row r="992" spans="3:33" s="1" customFormat="1" x14ac:dyDescent="0.25">
      <c r="C992" s="1" t="s">
        <v>5884</v>
      </c>
      <c r="D992" s="1" t="s">
        <v>5885</v>
      </c>
      <c r="E992" s="1" t="s">
        <v>5886</v>
      </c>
      <c r="F992" s="13" t="s">
        <v>6952</v>
      </c>
      <c r="G992" s="1" t="s">
        <v>5887</v>
      </c>
      <c r="H992" s="1" t="s">
        <v>160</v>
      </c>
      <c r="I992" s="1">
        <v>518</v>
      </c>
      <c r="J992" s="1" t="s">
        <v>46</v>
      </c>
      <c r="M992" s="1" t="s">
        <v>47</v>
      </c>
      <c r="N992" s="1" t="s">
        <v>48</v>
      </c>
      <c r="O992" s="9">
        <v>3</v>
      </c>
      <c r="P992" s="1">
        <f>ROUNDUP(1670*(1-$F$3),2)</f>
        <v>1670</v>
      </c>
      <c r="Q992" s="1" t="s">
        <v>49</v>
      </c>
      <c r="R992" s="1" t="s">
        <v>5888</v>
      </c>
      <c r="S992" s="1" t="s">
        <v>5889</v>
      </c>
      <c r="T992" s="9">
        <v>10</v>
      </c>
      <c r="U992" s="1">
        <f>ROUNDUP(1518.18*(1-$F$3),2)</f>
        <v>1518.18</v>
      </c>
      <c r="V992" s="1">
        <v>497</v>
      </c>
      <c r="Y992" s="1" t="s">
        <v>5890</v>
      </c>
      <c r="Z992" s="1" t="s">
        <v>128</v>
      </c>
      <c r="AA992" s="12">
        <v>45635</v>
      </c>
      <c r="AB992" s="1" t="s">
        <v>66</v>
      </c>
      <c r="AC992" s="1" t="s">
        <v>1271</v>
      </c>
      <c r="AD992" s="1" t="s">
        <v>5891</v>
      </c>
      <c r="AE992" s="1" t="s">
        <v>69</v>
      </c>
      <c r="AG992" s="1">
        <v>11572440</v>
      </c>
    </row>
    <row r="993" spans="3:33" s="1" customFormat="1" x14ac:dyDescent="0.25">
      <c r="C993" s="1" t="s">
        <v>5892</v>
      </c>
      <c r="D993" s="1" t="s">
        <v>5885</v>
      </c>
      <c r="E993" s="1" t="s">
        <v>1245</v>
      </c>
      <c r="F993" s="13" t="s">
        <v>6952</v>
      </c>
      <c r="G993" s="1" t="s">
        <v>888</v>
      </c>
      <c r="H993" s="1" t="s">
        <v>160</v>
      </c>
      <c r="I993" s="1">
        <v>320</v>
      </c>
      <c r="J993" s="1" t="s">
        <v>46</v>
      </c>
      <c r="M993" s="1" t="s">
        <v>47</v>
      </c>
      <c r="N993" s="1" t="s">
        <v>48</v>
      </c>
      <c r="O993" s="9">
        <v>6</v>
      </c>
      <c r="P993" s="1">
        <f>ROUNDUP(1210*(1-$F$3),2)</f>
        <v>1210</v>
      </c>
      <c r="Q993" s="1" t="s">
        <v>49</v>
      </c>
      <c r="R993" s="1" t="s">
        <v>5893</v>
      </c>
      <c r="S993" s="1" t="s">
        <v>5894</v>
      </c>
      <c r="T993" s="9">
        <v>10</v>
      </c>
      <c r="U993" s="1">
        <f>ROUNDUP(1100*(1-$F$3),2)</f>
        <v>1100</v>
      </c>
      <c r="V993" s="1">
        <v>331</v>
      </c>
      <c r="Y993" s="1" t="s">
        <v>1248</v>
      </c>
      <c r="Z993" s="1" t="s">
        <v>53</v>
      </c>
      <c r="AA993" s="12">
        <v>45723</v>
      </c>
      <c r="AB993" s="1" t="s">
        <v>95</v>
      </c>
      <c r="AC993" s="1" t="s">
        <v>112</v>
      </c>
      <c r="AD993" s="1" t="s">
        <v>839</v>
      </c>
      <c r="AE993" s="1" t="s">
        <v>69</v>
      </c>
      <c r="AG993" s="1">
        <v>11674850</v>
      </c>
    </row>
    <row r="994" spans="3:33" s="1" customFormat="1" x14ac:dyDescent="0.25">
      <c r="C994" s="1" t="s">
        <v>5895</v>
      </c>
      <c r="D994" s="1" t="s">
        <v>5885</v>
      </c>
      <c r="E994" s="1" t="s">
        <v>887</v>
      </c>
      <c r="F994" s="13" t="s">
        <v>6952</v>
      </c>
      <c r="G994" s="1" t="s">
        <v>888</v>
      </c>
      <c r="H994" s="1" t="s">
        <v>160</v>
      </c>
      <c r="I994" s="1">
        <v>304</v>
      </c>
      <c r="J994" s="1" t="s">
        <v>46</v>
      </c>
      <c r="M994" s="1" t="s">
        <v>62</v>
      </c>
      <c r="N994" s="1" t="s">
        <v>48</v>
      </c>
      <c r="O994" s="9">
        <v>12</v>
      </c>
      <c r="P994" s="1">
        <f>ROUNDUP(1050*(1-$F$3),2)</f>
        <v>1050</v>
      </c>
      <c r="Q994" s="1" t="s">
        <v>49</v>
      </c>
      <c r="R994" s="1" t="s">
        <v>5896</v>
      </c>
      <c r="S994" s="1" t="s">
        <v>5897</v>
      </c>
      <c r="T994" s="9">
        <v>10</v>
      </c>
      <c r="U994" s="1">
        <f>ROUNDUP(954.55*(1-$F$3),2)</f>
        <v>954.55</v>
      </c>
      <c r="V994" s="1">
        <v>323</v>
      </c>
      <c r="Y994" s="1" t="s">
        <v>891</v>
      </c>
      <c r="Z994" s="1" t="s">
        <v>53</v>
      </c>
      <c r="AA994" s="12">
        <v>45467</v>
      </c>
      <c r="AB994" s="1" t="s">
        <v>334</v>
      </c>
      <c r="AC994" s="1" t="s">
        <v>892</v>
      </c>
      <c r="AD994" s="1" t="s">
        <v>893</v>
      </c>
      <c r="AE994" s="1" t="s">
        <v>69</v>
      </c>
      <c r="AG994" s="1">
        <v>11388120</v>
      </c>
    </row>
    <row r="995" spans="3:33" s="1" customFormat="1" x14ac:dyDescent="0.25">
      <c r="C995" s="1" t="s">
        <v>5898</v>
      </c>
      <c r="D995" s="1" t="s">
        <v>5885</v>
      </c>
      <c r="E995" s="1" t="s">
        <v>5899</v>
      </c>
      <c r="F995" s="13" t="s">
        <v>6952</v>
      </c>
      <c r="G995" s="1" t="s">
        <v>888</v>
      </c>
      <c r="H995" s="1" t="s">
        <v>160</v>
      </c>
      <c r="I995" s="1">
        <v>304</v>
      </c>
      <c r="J995" s="1" t="s">
        <v>46</v>
      </c>
      <c r="M995" s="1" t="s">
        <v>47</v>
      </c>
      <c r="N995" s="1" t="s">
        <v>48</v>
      </c>
      <c r="O995" s="9">
        <v>5</v>
      </c>
      <c r="P995" s="1">
        <f>ROUNDUP(1050*(1-$F$3),2)</f>
        <v>1050</v>
      </c>
      <c r="Q995" s="1" t="s">
        <v>49</v>
      </c>
      <c r="R995" s="1" t="s">
        <v>5900</v>
      </c>
      <c r="S995" s="1" t="s">
        <v>5901</v>
      </c>
      <c r="T995" s="9">
        <v>10</v>
      </c>
      <c r="U995" s="1">
        <f>ROUNDUP(954.55*(1-$F$3),2)</f>
        <v>954.55</v>
      </c>
      <c r="V995" s="1">
        <v>331</v>
      </c>
      <c r="Y995" s="1" t="s">
        <v>5902</v>
      </c>
      <c r="Z995" s="1" t="s">
        <v>53</v>
      </c>
      <c r="AA995" s="12">
        <v>45635</v>
      </c>
      <c r="AB995" s="1" t="s">
        <v>334</v>
      </c>
      <c r="AC995" s="1" t="s">
        <v>892</v>
      </c>
      <c r="AD995" s="1" t="s">
        <v>893</v>
      </c>
      <c r="AE995" s="1" t="s">
        <v>69</v>
      </c>
      <c r="AG995" s="1">
        <v>11572450</v>
      </c>
    </row>
    <row r="996" spans="3:33" s="1" customFormat="1" x14ac:dyDescent="0.25">
      <c r="C996" s="1" t="s">
        <v>5903</v>
      </c>
      <c r="D996" s="1" t="s">
        <v>5885</v>
      </c>
      <c r="E996" s="1" t="s">
        <v>5904</v>
      </c>
      <c r="F996" s="13" t="s">
        <v>6952</v>
      </c>
      <c r="G996" s="1" t="s">
        <v>5905</v>
      </c>
      <c r="H996" s="1" t="s">
        <v>160</v>
      </c>
      <c r="I996" s="1">
        <v>352</v>
      </c>
      <c r="J996" s="1" t="s">
        <v>46</v>
      </c>
      <c r="M996" s="1" t="s">
        <v>47</v>
      </c>
      <c r="N996" s="1" t="s">
        <v>48</v>
      </c>
      <c r="O996" s="9">
        <v>5</v>
      </c>
      <c r="P996" s="1">
        <f>ROUNDUP(1160*(1-$F$3),2)</f>
        <v>1160</v>
      </c>
      <c r="Q996" s="1" t="s">
        <v>49</v>
      </c>
      <c r="R996" s="1" t="s">
        <v>5906</v>
      </c>
      <c r="S996" s="1" t="s">
        <v>5907</v>
      </c>
      <c r="T996" s="9">
        <v>22</v>
      </c>
      <c r="U996" s="1">
        <f>ROUNDUP(950.82*(1-$F$3),2)</f>
        <v>950.82</v>
      </c>
      <c r="V996" s="1">
        <v>351</v>
      </c>
      <c r="Y996" s="1" t="s">
        <v>5908</v>
      </c>
      <c r="Z996" s="1" t="s">
        <v>76</v>
      </c>
      <c r="AA996" s="12">
        <v>45721</v>
      </c>
      <c r="AB996" s="1" t="s">
        <v>66</v>
      </c>
      <c r="AC996" s="1" t="s">
        <v>143</v>
      </c>
      <c r="AD996" s="1" t="s">
        <v>144</v>
      </c>
      <c r="AE996" s="1" t="s">
        <v>69</v>
      </c>
      <c r="AG996" s="1">
        <v>11674840</v>
      </c>
    </row>
    <row r="997" spans="3:33" s="1" customFormat="1" x14ac:dyDescent="0.25">
      <c r="C997" s="1" t="s">
        <v>5909</v>
      </c>
      <c r="D997" s="1" t="s">
        <v>5885</v>
      </c>
      <c r="E997" s="1" t="s">
        <v>5910</v>
      </c>
      <c r="F997" s="13" t="s">
        <v>6952</v>
      </c>
      <c r="G997" s="1" t="s">
        <v>383</v>
      </c>
      <c r="H997" s="1" t="s">
        <v>160</v>
      </c>
      <c r="I997" s="1">
        <v>400</v>
      </c>
      <c r="J997" s="1" t="s">
        <v>46</v>
      </c>
      <c r="M997" s="1" t="s">
        <v>62</v>
      </c>
      <c r="N997" s="1" t="s">
        <v>48</v>
      </c>
      <c r="O997" s="9">
        <v>5</v>
      </c>
      <c r="P997" s="1">
        <f>ROUNDUP(1390*(1-$F$3),2)</f>
        <v>1390</v>
      </c>
      <c r="Q997" s="1" t="s">
        <v>49</v>
      </c>
      <c r="R997" s="1" t="s">
        <v>5911</v>
      </c>
      <c r="S997" s="1" t="s">
        <v>5912</v>
      </c>
      <c r="T997" s="9">
        <v>10</v>
      </c>
      <c r="U997" s="1">
        <f>ROUNDUP(1263.64*(1-$F$3),2)</f>
        <v>1263.6400000000001</v>
      </c>
      <c r="V997" s="1">
        <v>437</v>
      </c>
      <c r="Y997" s="1" t="s">
        <v>5913</v>
      </c>
      <c r="Z997" s="1" t="s">
        <v>53</v>
      </c>
      <c r="AA997" s="12">
        <v>45568</v>
      </c>
      <c r="AB997" s="1" t="s">
        <v>66</v>
      </c>
      <c r="AC997" s="1" t="s">
        <v>77</v>
      </c>
      <c r="AD997" s="1" t="s">
        <v>1360</v>
      </c>
      <c r="AE997" s="1" t="s">
        <v>69</v>
      </c>
      <c r="AG997" s="1">
        <v>11498810</v>
      </c>
    </row>
    <row r="998" spans="3:33" s="1" customFormat="1" x14ac:dyDescent="0.25">
      <c r="C998" s="1" t="s">
        <v>5914</v>
      </c>
      <c r="D998" s="1" t="s">
        <v>5885</v>
      </c>
      <c r="E998" s="1" t="s">
        <v>5915</v>
      </c>
      <c r="F998" s="13" t="s">
        <v>6952</v>
      </c>
      <c r="G998" s="1" t="s">
        <v>5916</v>
      </c>
      <c r="H998" s="1" t="s">
        <v>160</v>
      </c>
      <c r="I998" s="1">
        <v>192</v>
      </c>
      <c r="J998" s="1" t="s">
        <v>46</v>
      </c>
      <c r="M998" s="1" t="s">
        <v>47</v>
      </c>
      <c r="N998" s="1" t="s">
        <v>48</v>
      </c>
      <c r="O998" s="9">
        <v>16</v>
      </c>
      <c r="P998" s="1">
        <f>ROUNDUP(1270*(1-$F$3),2)</f>
        <v>1270</v>
      </c>
      <c r="Q998" s="1" t="s">
        <v>49</v>
      </c>
      <c r="R998" s="1" t="s">
        <v>5917</v>
      </c>
      <c r="S998" s="1" t="s">
        <v>5918</v>
      </c>
      <c r="T998" s="9">
        <v>10</v>
      </c>
      <c r="U998" s="1">
        <f>ROUNDUP(1154.55*(1-$F$3),2)</f>
        <v>1154.55</v>
      </c>
      <c r="V998" s="1">
        <v>291</v>
      </c>
      <c r="Y998" s="1" t="s">
        <v>5919</v>
      </c>
      <c r="Z998" s="1" t="s">
        <v>53</v>
      </c>
      <c r="AA998" s="12">
        <v>45580</v>
      </c>
      <c r="AB998" s="1" t="s">
        <v>66</v>
      </c>
      <c r="AC998" s="1" t="s">
        <v>1328</v>
      </c>
      <c r="AD998" s="1" t="s">
        <v>1329</v>
      </c>
      <c r="AE998" s="1" t="s">
        <v>69</v>
      </c>
      <c r="AG998" s="1">
        <v>11491590</v>
      </c>
    </row>
    <row r="999" spans="3:33" s="1" customFormat="1" x14ac:dyDescent="0.25">
      <c r="C999" s="1" t="s">
        <v>5920</v>
      </c>
      <c r="D999" s="1" t="s">
        <v>5885</v>
      </c>
      <c r="E999" s="1" t="s">
        <v>5921</v>
      </c>
      <c r="F999" s="13" t="s">
        <v>6952</v>
      </c>
      <c r="G999" s="1" t="s">
        <v>5922</v>
      </c>
      <c r="H999" s="1" t="s">
        <v>160</v>
      </c>
      <c r="I999" s="1">
        <v>304</v>
      </c>
      <c r="J999" s="1" t="s">
        <v>46</v>
      </c>
      <c r="M999" s="1" t="s">
        <v>47</v>
      </c>
      <c r="N999" s="1" t="s">
        <v>48</v>
      </c>
      <c r="O999" s="9">
        <v>4</v>
      </c>
      <c r="P999" s="1">
        <f>ROUNDUP(1040*(1-$F$3),2)</f>
        <v>1040</v>
      </c>
      <c r="Q999" s="1" t="s">
        <v>49</v>
      </c>
      <c r="R999" s="1" t="s">
        <v>5923</v>
      </c>
      <c r="S999" s="1" t="s">
        <v>5924</v>
      </c>
      <c r="T999" s="9">
        <v>10</v>
      </c>
      <c r="U999" s="1">
        <f>ROUNDUP(945.45*(1-$F$3),2)</f>
        <v>945.45</v>
      </c>
      <c r="V999" s="1">
        <v>331</v>
      </c>
      <c r="Y999" s="1" t="s">
        <v>1315</v>
      </c>
      <c r="Z999" s="1" t="s">
        <v>53</v>
      </c>
      <c r="AA999" s="12">
        <v>45670</v>
      </c>
      <c r="AB999" s="1" t="s">
        <v>66</v>
      </c>
      <c r="AC999" s="1" t="s">
        <v>143</v>
      </c>
      <c r="AD999" s="1" t="s">
        <v>144</v>
      </c>
      <c r="AE999" s="1" t="s">
        <v>69</v>
      </c>
      <c r="AG999" s="1">
        <v>11610330</v>
      </c>
    </row>
    <row r="1000" spans="3:33" s="1" customFormat="1" x14ac:dyDescent="0.25">
      <c r="C1000" s="1" t="s">
        <v>5925</v>
      </c>
      <c r="D1000" s="1" t="s">
        <v>5885</v>
      </c>
      <c r="E1000" s="1" t="s">
        <v>5926</v>
      </c>
      <c r="F1000" s="13" t="s">
        <v>6952</v>
      </c>
      <c r="G1000" s="1" t="s">
        <v>3346</v>
      </c>
      <c r="H1000" s="1" t="s">
        <v>160</v>
      </c>
      <c r="I1000" s="1">
        <v>288</v>
      </c>
      <c r="J1000" s="1" t="s">
        <v>46</v>
      </c>
      <c r="M1000" s="1" t="s">
        <v>47</v>
      </c>
      <c r="N1000" s="1" t="s">
        <v>48</v>
      </c>
      <c r="O1000" s="9">
        <v>5</v>
      </c>
      <c r="P1000" s="1">
        <f>ROUNDUP(1040*(1-$F$3),2)</f>
        <v>1040</v>
      </c>
      <c r="Q1000" s="1" t="s">
        <v>49</v>
      </c>
      <c r="R1000" s="1" t="s">
        <v>5927</v>
      </c>
      <c r="S1000" s="1" t="s">
        <v>5928</v>
      </c>
      <c r="T1000" s="9">
        <v>10</v>
      </c>
      <c r="U1000" s="1">
        <f>ROUNDUP(945.45*(1-$F$3),2)</f>
        <v>945.45</v>
      </c>
      <c r="V1000" s="1">
        <v>313</v>
      </c>
      <c r="Y1000" s="1" t="s">
        <v>5929</v>
      </c>
      <c r="Z1000" s="1" t="s">
        <v>53</v>
      </c>
      <c r="AA1000" s="12">
        <v>45670</v>
      </c>
      <c r="AB1000" s="1" t="s">
        <v>66</v>
      </c>
      <c r="AC1000" s="1" t="s">
        <v>77</v>
      </c>
      <c r="AD1000" s="1" t="s">
        <v>1360</v>
      </c>
      <c r="AE1000" s="1" t="s">
        <v>69</v>
      </c>
      <c r="AG1000" s="1">
        <v>11610310</v>
      </c>
    </row>
    <row r="1001" spans="3:33" s="1" customFormat="1" x14ac:dyDescent="0.25">
      <c r="C1001" s="1" t="s">
        <v>5930</v>
      </c>
      <c r="D1001" s="1" t="s">
        <v>5885</v>
      </c>
      <c r="E1001" s="1" t="s">
        <v>5931</v>
      </c>
      <c r="F1001" s="13" t="s">
        <v>6952</v>
      </c>
      <c r="G1001" s="1" t="s">
        <v>5932</v>
      </c>
      <c r="H1001" s="1" t="s">
        <v>160</v>
      </c>
      <c r="I1001" s="1">
        <v>544</v>
      </c>
      <c r="J1001" s="1" t="s">
        <v>46</v>
      </c>
      <c r="M1001" s="1" t="s">
        <v>47</v>
      </c>
      <c r="N1001" s="1" t="s">
        <v>48</v>
      </c>
      <c r="O1001" s="9">
        <v>4</v>
      </c>
      <c r="P1001" s="1">
        <f>ROUNDUP(1670*(1-$F$3),2)</f>
        <v>1670</v>
      </c>
      <c r="Q1001" s="1" t="s">
        <v>49</v>
      </c>
      <c r="R1001" s="1" t="s">
        <v>5933</v>
      </c>
      <c r="S1001" s="1" t="s">
        <v>5934</v>
      </c>
      <c r="T1001" s="9">
        <v>10</v>
      </c>
      <c r="U1001" s="1">
        <f>ROUNDUP(1518.18*(1-$F$3),2)</f>
        <v>1518.18</v>
      </c>
      <c r="V1001" s="1">
        <v>496</v>
      </c>
      <c r="Y1001" s="1" t="s">
        <v>5935</v>
      </c>
      <c r="Z1001" s="1" t="s">
        <v>53</v>
      </c>
      <c r="AA1001" s="12">
        <v>45756</v>
      </c>
      <c r="AB1001" s="1" t="s">
        <v>66</v>
      </c>
      <c r="AC1001" s="1" t="s">
        <v>143</v>
      </c>
      <c r="AD1001" s="1" t="s">
        <v>847</v>
      </c>
      <c r="AE1001" s="1" t="s">
        <v>69</v>
      </c>
      <c r="AG1001" s="1">
        <v>11708610</v>
      </c>
    </row>
    <row r="1002" spans="3:33" s="1" customFormat="1" x14ac:dyDescent="0.25">
      <c r="C1002" s="1" t="s">
        <v>5936</v>
      </c>
      <c r="D1002" s="1" t="s">
        <v>5885</v>
      </c>
      <c r="E1002" s="1" t="s">
        <v>5937</v>
      </c>
      <c r="F1002" s="13" t="s">
        <v>6952</v>
      </c>
      <c r="G1002" s="1" t="s">
        <v>5938</v>
      </c>
      <c r="H1002" s="1" t="s">
        <v>160</v>
      </c>
      <c r="I1002" s="1">
        <v>496</v>
      </c>
      <c r="J1002" s="1" t="s">
        <v>46</v>
      </c>
      <c r="M1002" s="1" t="s">
        <v>47</v>
      </c>
      <c r="N1002" s="1" t="s">
        <v>48</v>
      </c>
      <c r="O1002" s="9">
        <v>4</v>
      </c>
      <c r="P1002" s="1">
        <f>ROUNDUP(1460*(1-$F$3),2)</f>
        <v>1460</v>
      </c>
      <c r="Q1002" s="1" t="s">
        <v>49</v>
      </c>
      <c r="R1002" s="1" t="s">
        <v>5939</v>
      </c>
      <c r="S1002" s="1" t="s">
        <v>5940</v>
      </c>
      <c r="T1002" s="9">
        <v>10</v>
      </c>
      <c r="U1002" s="1">
        <f>ROUNDUP(1327.27*(1-$F$3),2)</f>
        <v>1327.27</v>
      </c>
      <c r="V1002" s="1">
        <v>461</v>
      </c>
      <c r="Y1002" s="1" t="s">
        <v>5941</v>
      </c>
      <c r="Z1002" s="1" t="s">
        <v>128</v>
      </c>
      <c r="AA1002" s="12">
        <v>45797</v>
      </c>
      <c r="AB1002" s="1" t="s">
        <v>66</v>
      </c>
      <c r="AC1002" s="1" t="s">
        <v>77</v>
      </c>
      <c r="AD1002" s="1" t="s">
        <v>605</v>
      </c>
      <c r="AE1002" s="1" t="s">
        <v>69</v>
      </c>
      <c r="AG1002" s="1">
        <v>11746610</v>
      </c>
    </row>
    <row r="1003" spans="3:33" s="1" customFormat="1" x14ac:dyDescent="0.25">
      <c r="C1003" s="1" t="s">
        <v>5942</v>
      </c>
      <c r="D1003" s="1" t="s">
        <v>5885</v>
      </c>
      <c r="E1003" s="1" t="s">
        <v>5943</v>
      </c>
      <c r="F1003" s="13" t="s">
        <v>6952</v>
      </c>
      <c r="G1003" s="1" t="s">
        <v>5277</v>
      </c>
      <c r="H1003" s="1" t="s">
        <v>160</v>
      </c>
      <c r="I1003" s="1">
        <v>320</v>
      </c>
      <c r="J1003" s="1" t="s">
        <v>46</v>
      </c>
      <c r="M1003" s="1" t="s">
        <v>47</v>
      </c>
      <c r="N1003" s="1" t="s">
        <v>48</v>
      </c>
      <c r="O1003" s="9">
        <v>5</v>
      </c>
      <c r="P1003" s="1">
        <f>ROUNDUP(1040*(1-$F$3),2)</f>
        <v>1040</v>
      </c>
      <c r="Q1003" s="1" t="s">
        <v>49</v>
      </c>
      <c r="R1003" s="1" t="s">
        <v>5944</v>
      </c>
      <c r="S1003" s="1" t="s">
        <v>5945</v>
      </c>
      <c r="T1003" s="9">
        <v>10</v>
      </c>
      <c r="U1003" s="1">
        <f>ROUNDUP(945.45*(1-$F$3),2)</f>
        <v>945.45</v>
      </c>
      <c r="V1003" s="1">
        <v>343</v>
      </c>
      <c r="Y1003" s="1" t="s">
        <v>5946</v>
      </c>
      <c r="Z1003" s="1" t="s">
        <v>53</v>
      </c>
      <c r="AA1003" s="12">
        <v>45670</v>
      </c>
      <c r="AB1003" s="1" t="s">
        <v>66</v>
      </c>
      <c r="AC1003" s="1" t="s">
        <v>77</v>
      </c>
      <c r="AD1003" s="1" t="s">
        <v>1360</v>
      </c>
      <c r="AE1003" s="1" t="s">
        <v>69</v>
      </c>
      <c r="AG1003" s="1">
        <v>11610300</v>
      </c>
    </row>
    <row r="1004" spans="3:33" s="1" customFormat="1" x14ac:dyDescent="0.25">
      <c r="C1004" s="1" t="s">
        <v>5947</v>
      </c>
      <c r="D1004" s="1" t="s">
        <v>5885</v>
      </c>
      <c r="E1004" s="1" t="s">
        <v>5948</v>
      </c>
      <c r="F1004" s="13" t="s">
        <v>6952</v>
      </c>
      <c r="G1004" s="1" t="s">
        <v>5949</v>
      </c>
      <c r="H1004" s="1" t="s">
        <v>160</v>
      </c>
      <c r="I1004" s="1">
        <v>352</v>
      </c>
      <c r="J1004" s="1" t="s">
        <v>46</v>
      </c>
      <c r="M1004" s="1" t="s">
        <v>47</v>
      </c>
      <c r="N1004" s="1" t="s">
        <v>48</v>
      </c>
      <c r="O1004" s="9">
        <v>5</v>
      </c>
      <c r="P1004" s="1">
        <f>ROUNDUP(1370*(1-$F$3),2)</f>
        <v>1370</v>
      </c>
      <c r="Q1004" s="1" t="s">
        <v>49</v>
      </c>
      <c r="R1004" s="1" t="s">
        <v>5950</v>
      </c>
      <c r="S1004" s="1" t="s">
        <v>5951</v>
      </c>
      <c r="T1004" s="9">
        <v>10</v>
      </c>
      <c r="U1004" s="1">
        <f>ROUNDUP(1245.45*(1-$F$3),2)</f>
        <v>1245.45</v>
      </c>
      <c r="V1004" s="1">
        <v>389</v>
      </c>
      <c r="Y1004" s="1" t="s">
        <v>5952</v>
      </c>
      <c r="Z1004" s="1" t="s">
        <v>53</v>
      </c>
      <c r="AA1004" s="12">
        <v>45565</v>
      </c>
      <c r="AB1004" s="1" t="s">
        <v>234</v>
      </c>
      <c r="AC1004" s="1" t="s">
        <v>235</v>
      </c>
      <c r="AD1004" s="1" t="s">
        <v>236</v>
      </c>
      <c r="AE1004" s="1" t="s">
        <v>69</v>
      </c>
      <c r="AG1004" s="1">
        <v>11476230</v>
      </c>
    </row>
    <row r="1005" spans="3:33" s="1" customFormat="1" x14ac:dyDescent="0.25">
      <c r="C1005" s="1" t="s">
        <v>5953</v>
      </c>
      <c r="D1005" s="1" t="s">
        <v>5885</v>
      </c>
      <c r="E1005" s="1" t="s">
        <v>5954</v>
      </c>
      <c r="F1005" s="13" t="s">
        <v>6952</v>
      </c>
      <c r="G1005" s="1" t="s">
        <v>5955</v>
      </c>
      <c r="H1005" s="1" t="s">
        <v>160</v>
      </c>
      <c r="I1005" s="1">
        <v>400</v>
      </c>
      <c r="J1005" s="1" t="s">
        <v>46</v>
      </c>
      <c r="M1005" s="1" t="s">
        <v>176</v>
      </c>
      <c r="N1005" s="1" t="s">
        <v>48</v>
      </c>
      <c r="O1005" s="9">
        <v>10</v>
      </c>
      <c r="P1005" s="1">
        <f>ROUNDUP(1170*(1-$F$3),2)</f>
        <v>1170</v>
      </c>
      <c r="Q1005" s="1" t="s">
        <v>49</v>
      </c>
      <c r="R1005" s="1" t="s">
        <v>5956</v>
      </c>
      <c r="S1005" s="1" t="s">
        <v>5957</v>
      </c>
      <c r="T1005" s="9">
        <v>10</v>
      </c>
      <c r="U1005" s="1">
        <f>ROUNDUP(1063.64*(1-$F$3),2)</f>
        <v>1063.6400000000001</v>
      </c>
      <c r="V1005" s="1">
        <v>439</v>
      </c>
      <c r="Y1005" s="1" t="s">
        <v>5958</v>
      </c>
      <c r="Z1005" s="1" t="s">
        <v>53</v>
      </c>
      <c r="AA1005" s="12">
        <v>45467</v>
      </c>
      <c r="AB1005" s="1" t="s">
        <v>95</v>
      </c>
      <c r="AC1005" s="1" t="s">
        <v>96</v>
      </c>
      <c r="AD1005" s="1" t="s">
        <v>5775</v>
      </c>
      <c r="AE1005" s="1" t="s">
        <v>69</v>
      </c>
      <c r="AG1005" s="1">
        <v>11388100</v>
      </c>
    </row>
    <row r="1006" spans="3:33" s="1" customFormat="1" x14ac:dyDescent="0.25">
      <c r="C1006" s="1" t="s">
        <v>5959</v>
      </c>
      <c r="D1006" s="1" t="s">
        <v>5885</v>
      </c>
      <c r="E1006" s="1" t="s">
        <v>5960</v>
      </c>
      <c r="F1006" s="13" t="s">
        <v>6952</v>
      </c>
      <c r="G1006" s="1" t="s">
        <v>4960</v>
      </c>
      <c r="H1006" s="1" t="s">
        <v>160</v>
      </c>
      <c r="I1006" s="1">
        <v>208</v>
      </c>
      <c r="J1006" s="1" t="s">
        <v>46</v>
      </c>
      <c r="M1006" s="1" t="s">
        <v>47</v>
      </c>
      <c r="N1006" s="1" t="s">
        <v>48</v>
      </c>
      <c r="O1006" s="9">
        <v>5</v>
      </c>
      <c r="P1006" s="1">
        <f>ROUNDUP(830*(1-$F$3),2)</f>
        <v>830</v>
      </c>
      <c r="Q1006" s="1" t="s">
        <v>49</v>
      </c>
      <c r="R1006" s="1" t="s">
        <v>5961</v>
      </c>
      <c r="S1006" s="1" t="s">
        <v>5962</v>
      </c>
      <c r="T1006" s="9">
        <v>10</v>
      </c>
      <c r="U1006" s="1">
        <f>ROUNDUP(754.55*(1-$F$3),2)</f>
        <v>754.55</v>
      </c>
      <c r="V1006" s="1">
        <v>249</v>
      </c>
      <c r="Y1006" s="1" t="s">
        <v>5963</v>
      </c>
      <c r="Z1006" s="1" t="s">
        <v>53</v>
      </c>
      <c r="AA1006" s="12">
        <v>45700</v>
      </c>
      <c r="AB1006" s="1" t="s">
        <v>66</v>
      </c>
      <c r="AC1006" s="1" t="s">
        <v>77</v>
      </c>
      <c r="AD1006" s="1" t="s">
        <v>605</v>
      </c>
      <c r="AE1006" s="1" t="s">
        <v>69</v>
      </c>
      <c r="AG1006" s="1">
        <v>11641960</v>
      </c>
    </row>
    <row r="1007" spans="3:33" s="1" customFormat="1" x14ac:dyDescent="0.25">
      <c r="C1007" s="1" t="s">
        <v>5964</v>
      </c>
      <c r="D1007" s="1" t="s">
        <v>5885</v>
      </c>
      <c r="E1007" s="1" t="s">
        <v>5965</v>
      </c>
      <c r="F1007" s="13" t="s">
        <v>6952</v>
      </c>
      <c r="G1007" s="1" t="s">
        <v>5966</v>
      </c>
      <c r="H1007" s="1" t="s">
        <v>160</v>
      </c>
      <c r="I1007" s="1">
        <v>400</v>
      </c>
      <c r="J1007" s="1" t="s">
        <v>46</v>
      </c>
      <c r="M1007" s="1" t="s">
        <v>176</v>
      </c>
      <c r="N1007" s="1" t="s">
        <v>48</v>
      </c>
      <c r="O1007" s="9">
        <v>10</v>
      </c>
      <c r="P1007" s="1">
        <f>ROUNDUP(1520*(1-$F$3),2)</f>
        <v>1520</v>
      </c>
      <c r="Q1007" s="1" t="s">
        <v>49</v>
      </c>
      <c r="R1007" s="1" t="s">
        <v>5967</v>
      </c>
      <c r="S1007" s="1" t="s">
        <v>5968</v>
      </c>
      <c r="T1007" s="9">
        <v>10</v>
      </c>
      <c r="U1007" s="1">
        <f>ROUNDUP(1381.82*(1-$F$3),2)</f>
        <v>1381.82</v>
      </c>
      <c r="V1007" s="1">
        <v>441</v>
      </c>
      <c r="Y1007" s="1" t="s">
        <v>5969</v>
      </c>
      <c r="Z1007" s="1" t="s">
        <v>53</v>
      </c>
      <c r="AA1007" s="12">
        <v>45565</v>
      </c>
      <c r="AB1007" s="1" t="s">
        <v>95</v>
      </c>
      <c r="AC1007" s="1" t="s">
        <v>96</v>
      </c>
      <c r="AD1007" s="1" t="s">
        <v>1286</v>
      </c>
      <c r="AE1007" s="1" t="s">
        <v>69</v>
      </c>
      <c r="AG1007" s="1">
        <v>11492880</v>
      </c>
    </row>
    <row r="1008" spans="3:33" s="1" customFormat="1" x14ac:dyDescent="0.25">
      <c r="C1008" s="1" t="s">
        <v>5970</v>
      </c>
      <c r="D1008" s="1" t="s">
        <v>5885</v>
      </c>
      <c r="E1008" s="1" t="s">
        <v>5971</v>
      </c>
      <c r="F1008" s="13" t="s">
        <v>6952</v>
      </c>
      <c r="G1008" s="1" t="s">
        <v>5972</v>
      </c>
      <c r="H1008" s="1" t="s">
        <v>160</v>
      </c>
      <c r="I1008" s="1">
        <v>304</v>
      </c>
      <c r="J1008" s="1" t="s">
        <v>46</v>
      </c>
      <c r="M1008" s="1" t="s">
        <v>47</v>
      </c>
      <c r="N1008" s="1" t="s">
        <v>48</v>
      </c>
      <c r="O1008" s="9">
        <v>5</v>
      </c>
      <c r="P1008" s="1">
        <f>ROUNDUP(1040*(1-$F$3),2)</f>
        <v>1040</v>
      </c>
      <c r="Q1008" s="1" t="s">
        <v>49</v>
      </c>
      <c r="R1008" s="1" t="s">
        <v>5973</v>
      </c>
      <c r="S1008" s="1" t="s">
        <v>5974</v>
      </c>
      <c r="T1008" s="9">
        <v>10</v>
      </c>
      <c r="U1008" s="1">
        <f>ROUNDUP(945.45*(1-$F$3),2)</f>
        <v>945.45</v>
      </c>
      <c r="V1008" s="1">
        <v>323</v>
      </c>
      <c r="Y1008" s="1" t="s">
        <v>5975</v>
      </c>
      <c r="Z1008" s="1" t="s">
        <v>128</v>
      </c>
      <c r="AA1008" s="12">
        <v>45797</v>
      </c>
      <c r="AB1008" s="1" t="s">
        <v>66</v>
      </c>
      <c r="AC1008" s="1" t="s">
        <v>77</v>
      </c>
      <c r="AD1008" s="1" t="s">
        <v>5976</v>
      </c>
      <c r="AE1008" s="1" t="s">
        <v>69</v>
      </c>
      <c r="AG1008" s="1">
        <v>11744250</v>
      </c>
    </row>
    <row r="1009" spans="3:33" s="1" customFormat="1" x14ac:dyDescent="0.25">
      <c r="C1009" s="1" t="s">
        <v>5977</v>
      </c>
      <c r="D1009" s="1" t="s">
        <v>5885</v>
      </c>
      <c r="E1009" s="1" t="s">
        <v>978</v>
      </c>
      <c r="F1009" s="13" t="s">
        <v>6952</v>
      </c>
      <c r="G1009" s="1" t="s">
        <v>979</v>
      </c>
      <c r="H1009" s="1" t="s">
        <v>160</v>
      </c>
      <c r="I1009" s="1">
        <v>464</v>
      </c>
      <c r="J1009" s="1" t="s">
        <v>46</v>
      </c>
      <c r="M1009" s="1" t="s">
        <v>47</v>
      </c>
      <c r="N1009" s="1" t="s">
        <v>48</v>
      </c>
      <c r="O1009" s="9">
        <v>8</v>
      </c>
      <c r="P1009" s="1">
        <f>ROUNDUP(1610*(1-$F$3),2)</f>
        <v>1610</v>
      </c>
      <c r="Q1009" s="1" t="s">
        <v>49</v>
      </c>
      <c r="R1009" s="1" t="s">
        <v>5978</v>
      </c>
      <c r="S1009" s="1" t="s">
        <v>5979</v>
      </c>
      <c r="T1009" s="9">
        <v>10</v>
      </c>
      <c r="U1009" s="1">
        <f>ROUNDUP(1463.64*(1-$F$3),2)</f>
        <v>1463.64</v>
      </c>
      <c r="V1009" s="1">
        <v>497</v>
      </c>
      <c r="Y1009" s="1" t="s">
        <v>982</v>
      </c>
      <c r="Z1009" s="1" t="s">
        <v>53</v>
      </c>
      <c r="AA1009" s="12">
        <v>45582</v>
      </c>
      <c r="AB1009" s="1" t="s">
        <v>66</v>
      </c>
      <c r="AC1009" s="1" t="s">
        <v>143</v>
      </c>
      <c r="AD1009" s="1" t="s">
        <v>847</v>
      </c>
      <c r="AE1009" s="1" t="s">
        <v>69</v>
      </c>
      <c r="AG1009" s="1">
        <v>11501870</v>
      </c>
    </row>
    <row r="1010" spans="3:33" s="1" customFormat="1" x14ac:dyDescent="0.25">
      <c r="C1010" s="1" t="s">
        <v>5980</v>
      </c>
      <c r="D1010" s="1" t="s">
        <v>5885</v>
      </c>
      <c r="E1010" s="1" t="s">
        <v>5981</v>
      </c>
      <c r="F1010" s="13" t="s">
        <v>6952</v>
      </c>
      <c r="G1010" s="1" t="s">
        <v>5982</v>
      </c>
      <c r="H1010" s="1" t="s">
        <v>160</v>
      </c>
      <c r="I1010" s="1">
        <v>624</v>
      </c>
      <c r="J1010" s="1" t="s">
        <v>46</v>
      </c>
      <c r="M1010" s="1" t="s">
        <v>47</v>
      </c>
      <c r="N1010" s="1" t="s">
        <v>48</v>
      </c>
      <c r="O1010" s="9">
        <v>5</v>
      </c>
      <c r="P1010" s="1">
        <f>ROUNDUP(1770*(1-$F$3),2)</f>
        <v>1770</v>
      </c>
      <c r="Q1010" s="1" t="s">
        <v>49</v>
      </c>
      <c r="R1010" s="1" t="s">
        <v>5983</v>
      </c>
      <c r="S1010" s="1" t="s">
        <v>5984</v>
      </c>
      <c r="T1010" s="9">
        <v>10</v>
      </c>
      <c r="U1010" s="1">
        <f>ROUNDUP(1609.09*(1-$F$3),2)</f>
        <v>1609.09</v>
      </c>
      <c r="V1010" s="1">
        <v>629</v>
      </c>
      <c r="Y1010" s="1" t="s">
        <v>5985</v>
      </c>
      <c r="Z1010" s="1" t="s">
        <v>53</v>
      </c>
      <c r="AA1010" s="12">
        <v>45797</v>
      </c>
      <c r="AB1010" s="1" t="s">
        <v>66</v>
      </c>
      <c r="AC1010" s="1" t="s">
        <v>143</v>
      </c>
      <c r="AD1010" s="1" t="s">
        <v>847</v>
      </c>
      <c r="AE1010" s="1" t="s">
        <v>69</v>
      </c>
      <c r="AG1010" s="1">
        <v>11746760</v>
      </c>
    </row>
    <row r="1011" spans="3:33" s="1" customFormat="1" x14ac:dyDescent="0.25">
      <c r="C1011" s="1" t="s">
        <v>5986</v>
      </c>
      <c r="D1011" s="1" t="s">
        <v>5885</v>
      </c>
      <c r="E1011" s="1" t="s">
        <v>5987</v>
      </c>
      <c r="F1011" s="13" t="s">
        <v>6952</v>
      </c>
      <c r="G1011" s="1" t="s">
        <v>5988</v>
      </c>
      <c r="H1011" s="1" t="s">
        <v>160</v>
      </c>
      <c r="I1011" s="1">
        <v>624</v>
      </c>
      <c r="J1011" s="1" t="s">
        <v>46</v>
      </c>
      <c r="M1011" s="1" t="s">
        <v>47</v>
      </c>
      <c r="N1011" s="1" t="s">
        <v>48</v>
      </c>
      <c r="O1011" s="9">
        <v>4</v>
      </c>
      <c r="P1011" s="1">
        <f>ROUNDUP(1880*(1-$F$3),2)</f>
        <v>1880</v>
      </c>
      <c r="Q1011" s="1" t="s">
        <v>49</v>
      </c>
      <c r="R1011" s="1" t="s">
        <v>5989</v>
      </c>
      <c r="S1011" s="1" t="s">
        <v>5990</v>
      </c>
      <c r="T1011" s="9">
        <v>10</v>
      </c>
      <c r="U1011" s="1">
        <f>ROUNDUP(1709.09*(1-$F$3),2)</f>
        <v>1709.09</v>
      </c>
      <c r="V1011" s="1">
        <v>628</v>
      </c>
      <c r="Y1011" s="1" t="s">
        <v>5991</v>
      </c>
      <c r="Z1011" s="1" t="s">
        <v>53</v>
      </c>
      <c r="AA1011" s="12">
        <v>45784</v>
      </c>
      <c r="AB1011" s="1" t="s">
        <v>66</v>
      </c>
      <c r="AC1011" s="1" t="s">
        <v>77</v>
      </c>
      <c r="AD1011" s="1" t="s">
        <v>1360</v>
      </c>
      <c r="AE1011" s="1" t="s">
        <v>69</v>
      </c>
      <c r="AG1011" s="1">
        <v>11742560</v>
      </c>
    </row>
    <row r="1012" spans="3:33" s="1" customFormat="1" x14ac:dyDescent="0.25">
      <c r="C1012" s="1" t="s">
        <v>5992</v>
      </c>
      <c r="D1012" s="1" t="s">
        <v>5885</v>
      </c>
      <c r="E1012" s="1" t="s">
        <v>5993</v>
      </c>
      <c r="F1012" s="13" t="s">
        <v>6952</v>
      </c>
      <c r="G1012" s="1" t="s">
        <v>4391</v>
      </c>
      <c r="H1012" s="1" t="s">
        <v>160</v>
      </c>
      <c r="I1012" s="1">
        <v>336</v>
      </c>
      <c r="J1012" s="1" t="s">
        <v>46</v>
      </c>
      <c r="M1012" s="1" t="s">
        <v>62</v>
      </c>
      <c r="N1012" s="1" t="s">
        <v>48</v>
      </c>
      <c r="O1012" s="9">
        <v>10</v>
      </c>
      <c r="P1012" s="1">
        <f>ROUNDUP(990*(1-$F$3),2)</f>
        <v>990</v>
      </c>
      <c r="Q1012" s="1" t="s">
        <v>49</v>
      </c>
      <c r="R1012" s="1" t="s">
        <v>5994</v>
      </c>
      <c r="S1012" s="1" t="s">
        <v>5995</v>
      </c>
      <c r="T1012" s="9">
        <v>10</v>
      </c>
      <c r="U1012" s="1">
        <f>ROUNDUP(900*(1-$F$3),2)</f>
        <v>900</v>
      </c>
      <c r="V1012" s="1">
        <v>382</v>
      </c>
      <c r="Y1012" s="1" t="s">
        <v>5996</v>
      </c>
      <c r="Z1012" s="1" t="s">
        <v>53</v>
      </c>
      <c r="AA1012" s="12">
        <v>45700</v>
      </c>
      <c r="AB1012" s="1" t="s">
        <v>95</v>
      </c>
      <c r="AC1012" s="1" t="s">
        <v>112</v>
      </c>
      <c r="AD1012" s="1" t="s">
        <v>536</v>
      </c>
      <c r="AE1012" s="1" t="s">
        <v>69</v>
      </c>
      <c r="AG1012" s="1">
        <v>11645610</v>
      </c>
    </row>
    <row r="1013" spans="3:33" s="1" customFormat="1" x14ac:dyDescent="0.25">
      <c r="C1013" s="1" t="s">
        <v>5997</v>
      </c>
      <c r="D1013" s="1" t="s">
        <v>5885</v>
      </c>
      <c r="E1013" s="1" t="s">
        <v>5998</v>
      </c>
      <c r="F1013" s="13" t="s">
        <v>6952</v>
      </c>
      <c r="G1013" s="1" t="s">
        <v>5999</v>
      </c>
      <c r="H1013" s="1" t="s">
        <v>160</v>
      </c>
      <c r="I1013" s="1">
        <v>368</v>
      </c>
      <c r="J1013" s="1" t="s">
        <v>46</v>
      </c>
      <c r="M1013" s="1" t="s">
        <v>47</v>
      </c>
      <c r="N1013" s="1" t="s">
        <v>48</v>
      </c>
      <c r="O1013" s="9">
        <v>4</v>
      </c>
      <c r="P1013" s="1">
        <f>ROUNDUP(1440*(1-$F$3),2)</f>
        <v>1440</v>
      </c>
      <c r="Q1013" s="1" t="s">
        <v>49</v>
      </c>
      <c r="R1013" s="1" t="s">
        <v>6000</v>
      </c>
      <c r="S1013" s="1" t="s">
        <v>6001</v>
      </c>
      <c r="T1013" s="9">
        <v>10</v>
      </c>
      <c r="U1013" s="1">
        <f>ROUNDUP(1309.09*(1-$F$3),2)</f>
        <v>1309.0899999999999</v>
      </c>
      <c r="V1013" s="1">
        <v>363</v>
      </c>
      <c r="Y1013" s="1" t="s">
        <v>912</v>
      </c>
      <c r="Z1013" s="1" t="s">
        <v>53</v>
      </c>
      <c r="AA1013" s="12">
        <v>45643</v>
      </c>
      <c r="AB1013" s="1" t="s">
        <v>95</v>
      </c>
      <c r="AC1013" s="1" t="s">
        <v>96</v>
      </c>
      <c r="AD1013" s="1" t="s">
        <v>912</v>
      </c>
      <c r="AE1013" s="1" t="s">
        <v>69</v>
      </c>
      <c r="AG1013" s="1">
        <v>11592280</v>
      </c>
    </row>
    <row r="1014" spans="3:33" s="1" customFormat="1" x14ac:dyDescent="0.25">
      <c r="C1014" s="1" t="s">
        <v>6002</v>
      </c>
      <c r="D1014" s="1" t="s">
        <v>6003</v>
      </c>
      <c r="E1014" s="1" t="s">
        <v>6004</v>
      </c>
      <c r="F1014" s="13" t="s">
        <v>6952</v>
      </c>
      <c r="G1014" s="1" t="s">
        <v>6005</v>
      </c>
      <c r="H1014" s="1" t="s">
        <v>160</v>
      </c>
      <c r="I1014" s="1">
        <v>286</v>
      </c>
      <c r="J1014" s="1" t="s">
        <v>46</v>
      </c>
      <c r="M1014" s="1" t="s">
        <v>3298</v>
      </c>
      <c r="N1014" s="1" t="s">
        <v>48</v>
      </c>
      <c r="O1014" s="9">
        <v>14</v>
      </c>
      <c r="P1014" s="1">
        <f>ROUNDUP(940*(1-$F$3),2)</f>
        <v>940</v>
      </c>
      <c r="Q1014" s="1" t="s">
        <v>49</v>
      </c>
      <c r="R1014" s="1" t="s">
        <v>6006</v>
      </c>
      <c r="S1014" s="1" t="s">
        <v>6007</v>
      </c>
      <c r="T1014" s="9">
        <v>10</v>
      </c>
      <c r="U1014" s="1">
        <f>ROUNDUP(854.55*(1-$F$3),2)</f>
        <v>854.55</v>
      </c>
      <c r="V1014" s="1">
        <v>343</v>
      </c>
      <c r="Y1014" s="1" t="s">
        <v>6008</v>
      </c>
      <c r="Z1014" s="1" t="s">
        <v>53</v>
      </c>
      <c r="AA1014" s="12">
        <v>42681</v>
      </c>
      <c r="AB1014" s="1" t="s">
        <v>66</v>
      </c>
      <c r="AC1014" s="1" t="s">
        <v>77</v>
      </c>
      <c r="AD1014" s="1" t="s">
        <v>78</v>
      </c>
      <c r="AE1014" s="1" t="s">
        <v>49</v>
      </c>
      <c r="AG1014" s="1">
        <v>7879290</v>
      </c>
    </row>
    <row r="1015" spans="3:33" s="1" customFormat="1" x14ac:dyDescent="0.25">
      <c r="C1015" s="1" t="s">
        <v>6009</v>
      </c>
      <c r="D1015" s="1" t="s">
        <v>6010</v>
      </c>
      <c r="E1015" s="1" t="s">
        <v>6011</v>
      </c>
      <c r="F1015" s="13" t="s">
        <v>6952</v>
      </c>
      <c r="G1015" s="1" t="s">
        <v>821</v>
      </c>
      <c r="H1015" s="1" t="s">
        <v>160</v>
      </c>
      <c r="I1015" s="1">
        <v>226</v>
      </c>
      <c r="J1015" s="1" t="s">
        <v>46</v>
      </c>
      <c r="K1015" s="1" t="s">
        <v>261</v>
      </c>
      <c r="M1015" s="1" t="s">
        <v>169</v>
      </c>
      <c r="N1015" s="1" t="s">
        <v>48</v>
      </c>
      <c r="O1015" s="9">
        <v>16</v>
      </c>
      <c r="P1015" s="1">
        <f>ROUNDUP(1130*(1-$F$3),2)</f>
        <v>1130</v>
      </c>
      <c r="Q1015" s="1" t="s">
        <v>49</v>
      </c>
      <c r="R1015" s="1" t="s">
        <v>6012</v>
      </c>
      <c r="S1015" s="1" t="s">
        <v>6013</v>
      </c>
      <c r="T1015" s="9">
        <v>10</v>
      </c>
      <c r="U1015" s="1">
        <f>ROUNDUP(1027.27*(1-$F$3),2)</f>
        <v>1027.27</v>
      </c>
      <c r="V1015" s="1">
        <v>319</v>
      </c>
      <c r="Y1015" s="1" t="s">
        <v>6014</v>
      </c>
      <c r="Z1015" s="1" t="s">
        <v>128</v>
      </c>
      <c r="AA1015" s="12">
        <v>44606</v>
      </c>
      <c r="AB1015" s="1" t="s">
        <v>66</v>
      </c>
      <c r="AC1015" s="1" t="s">
        <v>120</v>
      </c>
      <c r="AD1015" s="1" t="s">
        <v>121</v>
      </c>
      <c r="AE1015" s="1" t="s">
        <v>69</v>
      </c>
      <c r="AG1015" s="1">
        <v>10209580</v>
      </c>
    </row>
    <row r="1016" spans="3:33" s="1" customFormat="1" x14ac:dyDescent="0.25">
      <c r="C1016" s="1" t="s">
        <v>6015</v>
      </c>
      <c r="D1016" s="1" t="s">
        <v>6010</v>
      </c>
      <c r="E1016" s="1" t="s">
        <v>6016</v>
      </c>
      <c r="F1016" s="13" t="s">
        <v>6952</v>
      </c>
      <c r="G1016" s="1" t="s">
        <v>821</v>
      </c>
      <c r="H1016" s="1" t="s">
        <v>160</v>
      </c>
      <c r="I1016" s="1">
        <v>240</v>
      </c>
      <c r="J1016" s="1" t="s">
        <v>46</v>
      </c>
      <c r="M1016" s="1" t="s">
        <v>169</v>
      </c>
      <c r="N1016" s="1" t="s">
        <v>48</v>
      </c>
      <c r="O1016" s="9">
        <v>14</v>
      </c>
      <c r="P1016" s="1">
        <f>ROUNDUP(1030*(1-$F$3),2)</f>
        <v>1030</v>
      </c>
      <c r="Q1016" s="1" t="s">
        <v>49</v>
      </c>
      <c r="R1016" s="1" t="s">
        <v>6017</v>
      </c>
      <c r="S1016" s="1" t="s">
        <v>6018</v>
      </c>
      <c r="T1016" s="9">
        <v>10</v>
      </c>
      <c r="U1016" s="1">
        <f>ROUNDUP(936.36*(1-$F$3),2)</f>
        <v>936.36</v>
      </c>
      <c r="V1016" s="1">
        <v>274</v>
      </c>
      <c r="Y1016" s="1" t="s">
        <v>6019</v>
      </c>
      <c r="Z1016" s="1" t="s">
        <v>128</v>
      </c>
      <c r="AA1016" s="12">
        <v>44832</v>
      </c>
      <c r="AB1016" s="1" t="s">
        <v>66</v>
      </c>
      <c r="AC1016" s="1" t="s">
        <v>120</v>
      </c>
      <c r="AD1016" s="1" t="s">
        <v>121</v>
      </c>
      <c r="AE1016" s="1" t="s">
        <v>878</v>
      </c>
      <c r="AG1016" s="1">
        <v>10556700</v>
      </c>
    </row>
    <row r="1017" spans="3:33" s="1" customFormat="1" x14ac:dyDescent="0.25">
      <c r="C1017" s="1" t="s">
        <v>6020</v>
      </c>
      <c r="D1017" s="1" t="s">
        <v>6010</v>
      </c>
      <c r="E1017" s="1" t="s">
        <v>6021</v>
      </c>
      <c r="F1017" s="13" t="s">
        <v>6952</v>
      </c>
      <c r="G1017" s="1" t="s">
        <v>821</v>
      </c>
      <c r="H1017" s="1" t="s">
        <v>160</v>
      </c>
      <c r="I1017" s="1">
        <v>256</v>
      </c>
      <c r="J1017" s="1" t="s">
        <v>46</v>
      </c>
      <c r="K1017" s="1" t="s">
        <v>261</v>
      </c>
      <c r="M1017" s="1" t="s">
        <v>169</v>
      </c>
      <c r="N1017" s="1" t="s">
        <v>48</v>
      </c>
      <c r="O1017" s="9">
        <v>14</v>
      </c>
      <c r="P1017" s="1">
        <f>ROUNDUP(920*(1-$F$3),2)</f>
        <v>920</v>
      </c>
      <c r="Q1017" s="1" t="s">
        <v>49</v>
      </c>
      <c r="R1017" s="1" t="s">
        <v>6022</v>
      </c>
      <c r="S1017" s="1" t="s">
        <v>6023</v>
      </c>
      <c r="T1017" s="9">
        <v>10</v>
      </c>
      <c r="U1017" s="1">
        <f>ROUNDUP(836.36*(1-$F$3),2)</f>
        <v>836.36</v>
      </c>
      <c r="V1017" s="1">
        <v>354</v>
      </c>
      <c r="Y1017" s="1" t="s">
        <v>6024</v>
      </c>
      <c r="Z1017" s="1" t="s">
        <v>128</v>
      </c>
      <c r="AA1017" s="12">
        <v>44441</v>
      </c>
      <c r="AB1017" s="1" t="s">
        <v>66</v>
      </c>
      <c r="AC1017" s="1" t="s">
        <v>120</v>
      </c>
      <c r="AD1017" s="1" t="s">
        <v>121</v>
      </c>
      <c r="AE1017" s="1" t="s">
        <v>878</v>
      </c>
      <c r="AG1017" s="1">
        <v>9857540</v>
      </c>
    </row>
    <row r="1018" spans="3:33" s="1" customFormat="1" x14ac:dyDescent="0.25">
      <c r="C1018" s="1" t="s">
        <v>6025</v>
      </c>
      <c r="D1018" s="1" t="s">
        <v>6010</v>
      </c>
      <c r="E1018" s="1" t="s">
        <v>6026</v>
      </c>
      <c r="F1018" s="13" t="s">
        <v>6952</v>
      </c>
      <c r="G1018" s="1" t="s">
        <v>821</v>
      </c>
      <c r="H1018" s="1" t="s">
        <v>160</v>
      </c>
      <c r="I1018" s="1">
        <v>272</v>
      </c>
      <c r="J1018" s="1" t="s">
        <v>46</v>
      </c>
      <c r="K1018" s="1" t="s">
        <v>261</v>
      </c>
      <c r="M1018" s="1" t="s">
        <v>169</v>
      </c>
      <c r="N1018" s="1" t="s">
        <v>48</v>
      </c>
      <c r="O1018" s="9">
        <v>14</v>
      </c>
      <c r="P1018" s="1">
        <f>ROUNDUP(920*(1-$F$3),2)</f>
        <v>920</v>
      </c>
      <c r="Q1018" s="1" t="s">
        <v>49</v>
      </c>
      <c r="R1018" s="1" t="s">
        <v>6027</v>
      </c>
      <c r="S1018" s="1" t="s">
        <v>6028</v>
      </c>
      <c r="T1018" s="9">
        <v>10</v>
      </c>
      <c r="U1018" s="1">
        <f>ROUNDUP(836.36*(1-$F$3),2)</f>
        <v>836.36</v>
      </c>
      <c r="V1018" s="1">
        <v>368</v>
      </c>
      <c r="Y1018" s="1" t="s">
        <v>6029</v>
      </c>
      <c r="Z1018" s="1" t="s">
        <v>128</v>
      </c>
      <c r="AA1018" s="12">
        <v>44439</v>
      </c>
      <c r="AB1018" s="1" t="s">
        <v>66</v>
      </c>
      <c r="AC1018" s="1" t="s">
        <v>120</v>
      </c>
      <c r="AD1018" s="1" t="s">
        <v>121</v>
      </c>
      <c r="AE1018" s="1" t="s">
        <v>878</v>
      </c>
      <c r="AG1018" s="1">
        <v>9857640</v>
      </c>
    </row>
    <row r="1019" spans="3:33" s="1" customFormat="1" x14ac:dyDescent="0.25">
      <c r="C1019" s="1" t="s">
        <v>6030</v>
      </c>
      <c r="D1019" s="1" t="s">
        <v>6010</v>
      </c>
      <c r="E1019" s="1" t="s">
        <v>6031</v>
      </c>
      <c r="F1019" s="13" t="s">
        <v>6952</v>
      </c>
      <c r="G1019" s="1" t="s">
        <v>821</v>
      </c>
      <c r="H1019" s="1" t="s">
        <v>160</v>
      </c>
      <c r="I1019" s="1">
        <v>272</v>
      </c>
      <c r="J1019" s="1" t="s">
        <v>46</v>
      </c>
      <c r="K1019" s="1" t="s">
        <v>261</v>
      </c>
      <c r="M1019" s="1" t="s">
        <v>169</v>
      </c>
      <c r="N1019" s="1" t="s">
        <v>48</v>
      </c>
      <c r="O1019" s="9">
        <v>14</v>
      </c>
      <c r="P1019" s="1">
        <f>ROUNDUP(1130*(1-$F$3),2)</f>
        <v>1130</v>
      </c>
      <c r="Q1019" s="1" t="s">
        <v>49</v>
      </c>
      <c r="R1019" s="1" t="s">
        <v>6032</v>
      </c>
      <c r="S1019" s="1" t="s">
        <v>6033</v>
      </c>
      <c r="T1019" s="9">
        <v>10</v>
      </c>
      <c r="U1019" s="1">
        <f>ROUNDUP(1027.27*(1-$F$3),2)</f>
        <v>1027.27</v>
      </c>
      <c r="V1019" s="1">
        <v>303</v>
      </c>
      <c r="Y1019" s="1" t="s">
        <v>6034</v>
      </c>
      <c r="Z1019" s="1" t="s">
        <v>128</v>
      </c>
      <c r="AA1019" s="12">
        <v>44454</v>
      </c>
      <c r="AB1019" s="1" t="s">
        <v>66</v>
      </c>
      <c r="AC1019" s="1" t="s">
        <v>120</v>
      </c>
      <c r="AD1019" s="1" t="s">
        <v>121</v>
      </c>
      <c r="AE1019" s="1" t="s">
        <v>878</v>
      </c>
      <c r="AG1019" s="1">
        <v>9929610</v>
      </c>
    </row>
    <row r="1020" spans="3:33" s="1" customFormat="1" x14ac:dyDescent="0.25">
      <c r="C1020" s="1" t="s">
        <v>6035</v>
      </c>
      <c r="D1020" s="1" t="s">
        <v>6010</v>
      </c>
      <c r="E1020" s="1" t="s">
        <v>6036</v>
      </c>
      <c r="F1020" s="13" t="s">
        <v>6952</v>
      </c>
      <c r="G1020" s="1" t="s">
        <v>821</v>
      </c>
      <c r="H1020" s="1" t="s">
        <v>160</v>
      </c>
      <c r="I1020" s="1">
        <v>256</v>
      </c>
      <c r="J1020" s="1" t="s">
        <v>46</v>
      </c>
      <c r="M1020" s="1" t="s">
        <v>169</v>
      </c>
      <c r="N1020" s="1" t="s">
        <v>48</v>
      </c>
      <c r="O1020" s="9">
        <v>14</v>
      </c>
      <c r="P1020" s="1">
        <f>ROUNDUP(1030*(1-$F$3),2)</f>
        <v>1030</v>
      </c>
      <c r="Q1020" s="1" t="s">
        <v>49</v>
      </c>
      <c r="R1020" s="1" t="s">
        <v>6037</v>
      </c>
      <c r="S1020" s="1" t="s">
        <v>6038</v>
      </c>
      <c r="T1020" s="9">
        <v>10</v>
      </c>
      <c r="U1020" s="1">
        <f>ROUNDUP(936.36*(1-$F$3),2)</f>
        <v>936.36</v>
      </c>
      <c r="V1020" s="1">
        <v>289</v>
      </c>
      <c r="Y1020" s="1" t="s">
        <v>6039</v>
      </c>
      <c r="Z1020" s="1" t="s">
        <v>128</v>
      </c>
      <c r="AA1020" s="12">
        <v>44783</v>
      </c>
      <c r="AB1020" s="1" t="s">
        <v>66</v>
      </c>
      <c r="AC1020" s="1" t="s">
        <v>120</v>
      </c>
      <c r="AD1020" s="1" t="s">
        <v>121</v>
      </c>
      <c r="AE1020" s="1" t="s">
        <v>69</v>
      </c>
      <c r="AG1020" s="1">
        <v>10493090</v>
      </c>
    </row>
    <row r="1021" spans="3:33" s="1" customFormat="1" x14ac:dyDescent="0.25">
      <c r="C1021" s="1" t="s">
        <v>6040</v>
      </c>
      <c r="D1021" s="1" t="s">
        <v>6010</v>
      </c>
      <c r="E1021" s="1" t="s">
        <v>6041</v>
      </c>
      <c r="F1021" s="13" t="s">
        <v>6952</v>
      </c>
      <c r="G1021" s="1" t="s">
        <v>821</v>
      </c>
      <c r="H1021" s="1" t="s">
        <v>160</v>
      </c>
      <c r="I1021" s="1">
        <v>256</v>
      </c>
      <c r="J1021" s="1" t="s">
        <v>46</v>
      </c>
      <c r="K1021" s="1" t="s">
        <v>261</v>
      </c>
      <c r="M1021" s="1" t="s">
        <v>169</v>
      </c>
      <c r="N1021" s="1" t="s">
        <v>48</v>
      </c>
      <c r="O1021" s="9">
        <v>14</v>
      </c>
      <c r="P1021" s="1">
        <f>ROUNDUP(1130*(1-$F$3),2)</f>
        <v>1130</v>
      </c>
      <c r="Q1021" s="1" t="s">
        <v>49</v>
      </c>
      <c r="R1021" s="1" t="s">
        <v>6042</v>
      </c>
      <c r="S1021" s="1" t="s">
        <v>6043</v>
      </c>
      <c r="T1021" s="9">
        <v>10</v>
      </c>
      <c r="U1021" s="1">
        <f>ROUNDUP(1027.27*(1-$F$3),2)</f>
        <v>1027.27</v>
      </c>
      <c r="V1021" s="1">
        <v>289</v>
      </c>
      <c r="Y1021" s="1" t="s">
        <v>6044</v>
      </c>
      <c r="Z1021" s="1" t="s">
        <v>128</v>
      </c>
      <c r="AA1021" s="12">
        <v>44606</v>
      </c>
      <c r="AB1021" s="1" t="s">
        <v>66</v>
      </c>
      <c r="AC1021" s="1" t="s">
        <v>120</v>
      </c>
      <c r="AD1021" s="1" t="s">
        <v>121</v>
      </c>
      <c r="AE1021" s="1" t="s">
        <v>69</v>
      </c>
      <c r="AG1021" s="1">
        <v>10232280</v>
      </c>
    </row>
    <row r="1022" spans="3:33" s="1" customFormat="1" x14ac:dyDescent="0.25">
      <c r="C1022" s="1" t="s">
        <v>6045</v>
      </c>
      <c r="D1022" s="1" t="s">
        <v>6010</v>
      </c>
      <c r="E1022" s="1" t="s">
        <v>6046</v>
      </c>
      <c r="F1022" s="13" t="s">
        <v>6952</v>
      </c>
      <c r="G1022" s="1" t="s">
        <v>821</v>
      </c>
      <c r="H1022" s="1" t="s">
        <v>160</v>
      </c>
      <c r="I1022" s="1">
        <v>272</v>
      </c>
      <c r="J1022" s="1" t="s">
        <v>46</v>
      </c>
      <c r="K1022" s="1" t="s">
        <v>261</v>
      </c>
      <c r="M1022" s="1" t="s">
        <v>169</v>
      </c>
      <c r="N1022" s="1" t="s">
        <v>48</v>
      </c>
      <c r="O1022" s="9">
        <v>14</v>
      </c>
      <c r="P1022" s="1">
        <f>ROUNDUP(920*(1-$F$3),2)</f>
        <v>920</v>
      </c>
      <c r="Q1022" s="1" t="s">
        <v>49</v>
      </c>
      <c r="R1022" s="1" t="s">
        <v>6047</v>
      </c>
      <c r="S1022" s="1" t="s">
        <v>6048</v>
      </c>
      <c r="T1022" s="9">
        <v>10</v>
      </c>
      <c r="U1022" s="1">
        <f>ROUNDUP(836.36*(1-$F$3),2)</f>
        <v>836.36</v>
      </c>
      <c r="V1022" s="1">
        <v>301</v>
      </c>
      <c r="Y1022" s="1" t="s">
        <v>6049</v>
      </c>
      <c r="Z1022" s="1" t="s">
        <v>128</v>
      </c>
      <c r="AA1022" s="12">
        <v>44620</v>
      </c>
      <c r="AB1022" s="1" t="s">
        <v>66</v>
      </c>
      <c r="AC1022" s="1" t="s">
        <v>120</v>
      </c>
      <c r="AD1022" s="1" t="s">
        <v>121</v>
      </c>
      <c r="AE1022" s="1" t="s">
        <v>878</v>
      </c>
      <c r="AG1022" s="1">
        <v>10362120</v>
      </c>
    </row>
    <row r="1023" spans="3:33" s="1" customFormat="1" x14ac:dyDescent="0.25">
      <c r="C1023" s="1" t="s">
        <v>6050</v>
      </c>
      <c r="D1023" s="1" t="s">
        <v>6010</v>
      </c>
      <c r="E1023" s="1" t="s">
        <v>6051</v>
      </c>
      <c r="F1023" s="13" t="s">
        <v>6952</v>
      </c>
      <c r="G1023" s="1" t="s">
        <v>821</v>
      </c>
      <c r="H1023" s="1" t="s">
        <v>160</v>
      </c>
      <c r="I1023" s="1">
        <v>256</v>
      </c>
      <c r="J1023" s="1" t="s">
        <v>46</v>
      </c>
      <c r="M1023" s="1" t="s">
        <v>169</v>
      </c>
      <c r="N1023" s="1" t="s">
        <v>48</v>
      </c>
      <c r="O1023" s="9">
        <v>14</v>
      </c>
      <c r="P1023" s="1">
        <f>ROUNDUP(1030*(1-$F$3),2)</f>
        <v>1030</v>
      </c>
      <c r="Q1023" s="1" t="s">
        <v>49</v>
      </c>
      <c r="R1023" s="1" t="s">
        <v>6052</v>
      </c>
      <c r="S1023" s="1" t="s">
        <v>6053</v>
      </c>
      <c r="T1023" s="9">
        <v>10</v>
      </c>
      <c r="U1023" s="1">
        <f>ROUNDUP(936.36*(1-$F$3),2)</f>
        <v>936.36</v>
      </c>
      <c r="V1023" s="1">
        <v>287</v>
      </c>
      <c r="Y1023" s="1" t="s">
        <v>6054</v>
      </c>
      <c r="Z1023" s="1" t="s">
        <v>128</v>
      </c>
      <c r="AA1023" s="12">
        <v>44783</v>
      </c>
      <c r="AB1023" s="1" t="s">
        <v>66</v>
      </c>
      <c r="AC1023" s="1" t="s">
        <v>120</v>
      </c>
      <c r="AD1023" s="1" t="s">
        <v>121</v>
      </c>
      <c r="AE1023" s="1" t="s">
        <v>69</v>
      </c>
      <c r="AG1023" s="1">
        <v>10492440</v>
      </c>
    </row>
    <row r="1024" spans="3:33" s="1" customFormat="1" x14ac:dyDescent="0.25">
      <c r="C1024" s="1" t="s">
        <v>6055</v>
      </c>
      <c r="D1024" s="1" t="s">
        <v>6056</v>
      </c>
      <c r="E1024" s="1" t="s">
        <v>6057</v>
      </c>
      <c r="F1024" s="13" t="s">
        <v>6952</v>
      </c>
      <c r="G1024" s="1" t="s">
        <v>6058</v>
      </c>
      <c r="H1024" s="1" t="s">
        <v>160</v>
      </c>
      <c r="I1024" s="1">
        <v>288</v>
      </c>
      <c r="J1024" s="1" t="s">
        <v>46</v>
      </c>
      <c r="M1024" s="1" t="s">
        <v>835</v>
      </c>
      <c r="N1024" s="1" t="s">
        <v>48</v>
      </c>
      <c r="O1024" s="9">
        <v>10</v>
      </c>
      <c r="P1024" s="1">
        <f>ROUNDUP(1110*(1-$F$3),2)</f>
        <v>1110</v>
      </c>
      <c r="Q1024" s="1" t="s">
        <v>49</v>
      </c>
      <c r="R1024" s="1" t="s">
        <v>6059</v>
      </c>
      <c r="S1024" s="1" t="s">
        <v>6060</v>
      </c>
      <c r="T1024" s="9">
        <v>10</v>
      </c>
      <c r="U1024" s="1">
        <f>ROUNDUP(1009.09*(1-$F$3),2)</f>
        <v>1009.09</v>
      </c>
      <c r="V1024" s="1">
        <v>345</v>
      </c>
      <c r="Y1024" s="1" t="s">
        <v>6061</v>
      </c>
      <c r="Z1024" s="1" t="s">
        <v>53</v>
      </c>
      <c r="AA1024" s="12">
        <v>44239</v>
      </c>
      <c r="AB1024" s="1" t="s">
        <v>219</v>
      </c>
      <c r="AC1024" s="1" t="s">
        <v>220</v>
      </c>
      <c r="AD1024" s="1" t="s">
        <v>4221</v>
      </c>
      <c r="AE1024" s="1" t="s">
        <v>69</v>
      </c>
      <c r="AG1024" s="1">
        <v>9595520</v>
      </c>
    </row>
    <row r="1025" spans="2:33" s="1" customFormat="1" x14ac:dyDescent="0.25">
      <c r="C1025" s="1" t="s">
        <v>6062</v>
      </c>
      <c r="D1025" s="1" t="s">
        <v>6063</v>
      </c>
      <c r="E1025" s="1" t="s">
        <v>6064</v>
      </c>
      <c r="F1025" s="13" t="s">
        <v>6952</v>
      </c>
      <c r="G1025" s="1" t="s">
        <v>2793</v>
      </c>
      <c r="H1025" s="1" t="s">
        <v>61</v>
      </c>
      <c r="I1025" s="1">
        <v>1104</v>
      </c>
      <c r="J1025" s="1" t="s">
        <v>46</v>
      </c>
      <c r="M1025" s="1" t="s">
        <v>47</v>
      </c>
      <c r="N1025" s="1" t="s">
        <v>48</v>
      </c>
      <c r="O1025" s="9">
        <v>4</v>
      </c>
      <c r="P1025" s="1">
        <f>ROUNDUP(1720*(1-$F$3),2)</f>
        <v>1720</v>
      </c>
      <c r="Q1025" s="1" t="s">
        <v>49</v>
      </c>
      <c r="R1025" s="1" t="s">
        <v>6065</v>
      </c>
      <c r="S1025" s="1" t="s">
        <v>6066</v>
      </c>
      <c r="T1025" s="9">
        <v>22</v>
      </c>
      <c r="U1025" s="1">
        <f>ROUNDUP(1409.84*(1-$F$3),2)</f>
        <v>1409.84</v>
      </c>
      <c r="V1025" s="1">
        <v>845</v>
      </c>
      <c r="Y1025" s="1" t="s">
        <v>6067</v>
      </c>
      <c r="Z1025" s="1" t="s">
        <v>53</v>
      </c>
      <c r="AA1025" s="12">
        <v>45635</v>
      </c>
      <c r="AB1025" s="1" t="s">
        <v>286</v>
      </c>
      <c r="AC1025" s="1" t="s">
        <v>320</v>
      </c>
      <c r="AD1025" s="1" t="s">
        <v>746</v>
      </c>
      <c r="AE1025" s="1" t="s">
        <v>69</v>
      </c>
      <c r="AG1025" s="1">
        <v>11520920</v>
      </c>
    </row>
    <row r="1026" spans="2:33" s="1" customFormat="1" x14ac:dyDescent="0.25">
      <c r="C1026" s="1" t="s">
        <v>6068</v>
      </c>
      <c r="D1026" s="1" t="s">
        <v>6063</v>
      </c>
      <c r="E1026" s="1" t="s">
        <v>6069</v>
      </c>
      <c r="F1026" s="13" t="s">
        <v>6952</v>
      </c>
      <c r="G1026" s="1" t="s">
        <v>4773</v>
      </c>
      <c r="H1026" s="1" t="s">
        <v>160</v>
      </c>
      <c r="I1026" s="1">
        <v>672</v>
      </c>
      <c r="J1026" s="1" t="s">
        <v>46</v>
      </c>
      <c r="M1026" s="1" t="s">
        <v>47</v>
      </c>
      <c r="N1026" s="1" t="s">
        <v>48</v>
      </c>
      <c r="O1026" s="9"/>
      <c r="P1026" s="1">
        <f>ROUNDUP(1370*(1-$F$3),2)</f>
        <v>1370</v>
      </c>
      <c r="Q1026" s="1" t="s">
        <v>49</v>
      </c>
      <c r="R1026" s="1" t="s">
        <v>6070</v>
      </c>
      <c r="S1026" s="1" t="s">
        <v>6071</v>
      </c>
      <c r="T1026" s="9">
        <v>22</v>
      </c>
      <c r="U1026" s="1">
        <f>ROUNDUP(1122.95*(1-$F$3),2)</f>
        <v>1122.95</v>
      </c>
      <c r="V1026" s="1">
        <v>814</v>
      </c>
      <c r="Y1026" s="1" t="s">
        <v>6072</v>
      </c>
      <c r="Z1026" s="1" t="s">
        <v>53</v>
      </c>
      <c r="AA1026" s="12">
        <v>45814</v>
      </c>
      <c r="AB1026" s="1" t="s">
        <v>286</v>
      </c>
      <c r="AC1026" s="1" t="s">
        <v>320</v>
      </c>
      <c r="AD1026" s="1" t="s">
        <v>746</v>
      </c>
      <c r="AE1026" s="1" t="s">
        <v>69</v>
      </c>
      <c r="AG1026" s="1">
        <v>11782510</v>
      </c>
    </row>
    <row r="1027" spans="2:33" s="1" customFormat="1" x14ac:dyDescent="0.25">
      <c r="C1027" s="1" t="s">
        <v>6073</v>
      </c>
      <c r="D1027" s="1" t="s">
        <v>6074</v>
      </c>
      <c r="E1027" s="1" t="s">
        <v>6075</v>
      </c>
      <c r="F1027" s="13" t="s">
        <v>6952</v>
      </c>
      <c r="G1027" s="1" t="s">
        <v>405</v>
      </c>
      <c r="H1027" s="1" t="s">
        <v>61</v>
      </c>
      <c r="I1027" s="1">
        <v>184</v>
      </c>
      <c r="J1027" s="1" t="s">
        <v>46</v>
      </c>
      <c r="M1027" s="1" t="s">
        <v>62</v>
      </c>
      <c r="N1027" s="1" t="s">
        <v>48</v>
      </c>
      <c r="O1027" s="9">
        <v>10</v>
      </c>
      <c r="P1027" s="1">
        <f>ROUNDUP(990*(1-$F$3),2)</f>
        <v>990</v>
      </c>
      <c r="Q1027" s="1" t="s">
        <v>49</v>
      </c>
      <c r="R1027" s="1" t="s">
        <v>6076</v>
      </c>
      <c r="S1027" s="1" t="s">
        <v>6077</v>
      </c>
      <c r="T1027" s="9">
        <v>10</v>
      </c>
      <c r="U1027" s="1">
        <f>ROUNDUP(900*(1-$F$3),2)</f>
        <v>900</v>
      </c>
      <c r="V1027" s="1">
        <v>335</v>
      </c>
      <c r="Y1027" s="1" t="s">
        <v>6078</v>
      </c>
      <c r="Z1027" s="1" t="s">
        <v>128</v>
      </c>
      <c r="AA1027" s="12">
        <v>44210</v>
      </c>
      <c r="AB1027" s="1" t="s">
        <v>573</v>
      </c>
      <c r="AC1027" s="1" t="s">
        <v>66</v>
      </c>
      <c r="AD1027" s="1" t="s">
        <v>2738</v>
      </c>
      <c r="AE1027" s="1" t="s">
        <v>69</v>
      </c>
      <c r="AG1027" s="1">
        <v>9612360</v>
      </c>
    </row>
    <row r="1028" spans="2:33" s="1" customFormat="1" x14ac:dyDescent="0.25">
      <c r="C1028" s="1" t="s">
        <v>6079</v>
      </c>
      <c r="D1028" s="1" t="s">
        <v>6080</v>
      </c>
      <c r="E1028" s="1" t="s">
        <v>6081</v>
      </c>
      <c r="F1028" s="13" t="s">
        <v>6952</v>
      </c>
      <c r="G1028" s="1" t="s">
        <v>6082</v>
      </c>
      <c r="H1028" s="1" t="s">
        <v>160</v>
      </c>
      <c r="I1028" s="1">
        <v>224</v>
      </c>
      <c r="J1028" s="1" t="s">
        <v>46</v>
      </c>
      <c r="M1028" s="1" t="s">
        <v>62</v>
      </c>
      <c r="N1028" s="1" t="s">
        <v>48</v>
      </c>
      <c r="O1028" s="9">
        <v>10</v>
      </c>
      <c r="P1028" s="1">
        <f>ROUNDUP(800*(1-$F$3),2)</f>
        <v>800</v>
      </c>
      <c r="Q1028" s="1" t="s">
        <v>49</v>
      </c>
      <c r="R1028" s="1" t="s">
        <v>6083</v>
      </c>
      <c r="S1028" s="1" t="s">
        <v>6084</v>
      </c>
      <c r="T1028" s="9">
        <v>10</v>
      </c>
      <c r="U1028" s="1">
        <f>ROUNDUP(727.27*(1-$F$3),2)</f>
        <v>727.27</v>
      </c>
      <c r="V1028" s="1">
        <v>323</v>
      </c>
      <c r="Y1028" s="1" t="s">
        <v>6085</v>
      </c>
      <c r="Z1028" s="1" t="s">
        <v>711</v>
      </c>
      <c r="AA1028" s="12">
        <v>45141</v>
      </c>
      <c r="AB1028" s="1" t="s">
        <v>573</v>
      </c>
      <c r="AC1028" s="1" t="s">
        <v>66</v>
      </c>
      <c r="AD1028" s="1" t="s">
        <v>2756</v>
      </c>
      <c r="AE1028" s="1" t="s">
        <v>69</v>
      </c>
      <c r="AG1028" s="1">
        <v>11012580</v>
      </c>
    </row>
    <row r="1029" spans="2:33" s="1" customFormat="1" x14ac:dyDescent="0.25">
      <c r="C1029" s="1" t="s">
        <v>6086</v>
      </c>
      <c r="D1029" s="1" t="s">
        <v>6080</v>
      </c>
      <c r="E1029" s="1" t="s">
        <v>6087</v>
      </c>
      <c r="F1029" s="13" t="s">
        <v>6952</v>
      </c>
      <c r="G1029" s="1" t="s">
        <v>383</v>
      </c>
      <c r="H1029" s="1" t="s">
        <v>61</v>
      </c>
      <c r="I1029" s="1">
        <v>256</v>
      </c>
      <c r="J1029" s="1" t="s">
        <v>46</v>
      </c>
      <c r="M1029" s="1" t="s">
        <v>161</v>
      </c>
      <c r="N1029" s="1" t="s">
        <v>48</v>
      </c>
      <c r="O1029" s="9">
        <v>8</v>
      </c>
      <c r="P1029" s="1">
        <f>ROUNDUP(840*(1-$F$3),2)</f>
        <v>840</v>
      </c>
      <c r="Q1029" s="1" t="s">
        <v>49</v>
      </c>
      <c r="R1029" s="1" t="s">
        <v>6088</v>
      </c>
      <c r="S1029" s="1" t="s">
        <v>6089</v>
      </c>
      <c r="T1029" s="9">
        <v>10</v>
      </c>
      <c r="U1029" s="1">
        <f>ROUNDUP(763.64*(1-$F$3),2)</f>
        <v>763.64</v>
      </c>
      <c r="V1029" s="1">
        <v>429</v>
      </c>
      <c r="Y1029" s="1" t="s">
        <v>6090</v>
      </c>
      <c r="Z1029" s="1" t="s">
        <v>128</v>
      </c>
      <c r="AA1029" s="12">
        <v>45141</v>
      </c>
      <c r="AB1029" s="1" t="s">
        <v>66</v>
      </c>
      <c r="AC1029" s="1" t="s">
        <v>77</v>
      </c>
      <c r="AD1029" s="1" t="s">
        <v>1360</v>
      </c>
      <c r="AE1029" s="1" t="s">
        <v>69</v>
      </c>
      <c r="AG1029" s="1">
        <v>11012660</v>
      </c>
    </row>
    <row r="1030" spans="2:33" s="1" customFormat="1" x14ac:dyDescent="0.25">
      <c r="C1030" s="1" t="s">
        <v>6091</v>
      </c>
      <c r="D1030" s="1" t="s">
        <v>6080</v>
      </c>
      <c r="E1030" s="1" t="s">
        <v>6092</v>
      </c>
      <c r="F1030" s="13" t="s">
        <v>6952</v>
      </c>
      <c r="G1030" s="1" t="s">
        <v>6093</v>
      </c>
      <c r="H1030" s="1" t="s">
        <v>160</v>
      </c>
      <c r="I1030" s="1">
        <v>320</v>
      </c>
      <c r="J1030" s="1" t="s">
        <v>46</v>
      </c>
      <c r="M1030" s="1" t="s">
        <v>161</v>
      </c>
      <c r="N1030" s="1" t="s">
        <v>48</v>
      </c>
      <c r="O1030" s="9">
        <v>8</v>
      </c>
      <c r="P1030" s="1">
        <f>ROUNDUP(770*(1-$F$3),2)</f>
        <v>770</v>
      </c>
      <c r="Q1030" s="1" t="s">
        <v>49</v>
      </c>
      <c r="R1030" s="1" t="s">
        <v>6094</v>
      </c>
      <c r="S1030" s="1" t="s">
        <v>6095</v>
      </c>
      <c r="T1030" s="9">
        <v>10</v>
      </c>
      <c r="U1030" s="1">
        <f>ROUNDUP(700*(1-$F$3),2)</f>
        <v>700</v>
      </c>
      <c r="V1030" s="1">
        <v>358</v>
      </c>
      <c r="Y1030" s="1" t="s">
        <v>6096</v>
      </c>
      <c r="Z1030" s="1" t="s">
        <v>128</v>
      </c>
      <c r="AA1030" s="12">
        <v>45141</v>
      </c>
      <c r="AB1030" s="1" t="s">
        <v>66</v>
      </c>
      <c r="AC1030" s="1" t="s">
        <v>1328</v>
      </c>
      <c r="AD1030" s="1" t="s">
        <v>5363</v>
      </c>
      <c r="AE1030" s="1" t="s">
        <v>69</v>
      </c>
      <c r="AG1030" s="1">
        <v>11012590</v>
      </c>
    </row>
    <row r="1031" spans="2:33" s="1" customFormat="1" x14ac:dyDescent="0.25">
      <c r="C1031" s="1" t="s">
        <v>6097</v>
      </c>
      <c r="D1031" s="1" t="s">
        <v>6080</v>
      </c>
      <c r="E1031" s="1" t="s">
        <v>6098</v>
      </c>
      <c r="F1031" s="13" t="s">
        <v>6952</v>
      </c>
      <c r="G1031" s="1" t="s">
        <v>6099</v>
      </c>
      <c r="H1031" s="1" t="s">
        <v>160</v>
      </c>
      <c r="I1031" s="1">
        <v>192</v>
      </c>
      <c r="J1031" s="1" t="s">
        <v>46</v>
      </c>
      <c r="M1031" s="1" t="s">
        <v>161</v>
      </c>
      <c r="N1031" s="1" t="s">
        <v>48</v>
      </c>
      <c r="O1031" s="9">
        <v>10</v>
      </c>
      <c r="P1031" s="1">
        <f>ROUNDUP(770*(1-$F$3),2)</f>
        <v>770</v>
      </c>
      <c r="Q1031" s="1" t="s">
        <v>49</v>
      </c>
      <c r="R1031" s="1" t="s">
        <v>6100</v>
      </c>
      <c r="S1031" s="1" t="s">
        <v>6101</v>
      </c>
      <c r="T1031" s="9">
        <v>10</v>
      </c>
      <c r="U1031" s="1">
        <f>ROUNDUP(700*(1-$F$3),2)</f>
        <v>700</v>
      </c>
      <c r="V1031" s="1">
        <v>293</v>
      </c>
      <c r="Y1031" s="1" t="s">
        <v>6102</v>
      </c>
      <c r="Z1031" s="1" t="s">
        <v>711</v>
      </c>
      <c r="AA1031" s="12">
        <v>45141</v>
      </c>
      <c r="AB1031" s="1" t="s">
        <v>573</v>
      </c>
      <c r="AC1031" s="1" t="s">
        <v>66</v>
      </c>
      <c r="AD1031" s="1" t="s">
        <v>6103</v>
      </c>
      <c r="AE1031" s="1" t="s">
        <v>69</v>
      </c>
      <c r="AG1031" s="1">
        <v>11012650</v>
      </c>
    </row>
    <row r="1032" spans="2:33" s="1" customFormat="1" x14ac:dyDescent="0.25">
      <c r="C1032" s="1" t="s">
        <v>6104</v>
      </c>
      <c r="D1032" s="1" t="s">
        <v>6080</v>
      </c>
      <c r="E1032" s="1" t="s">
        <v>6105</v>
      </c>
      <c r="F1032" s="13" t="s">
        <v>6952</v>
      </c>
      <c r="G1032" s="1" t="s">
        <v>6082</v>
      </c>
      <c r="H1032" s="1" t="s">
        <v>160</v>
      </c>
      <c r="I1032" s="1">
        <v>192</v>
      </c>
      <c r="J1032" s="1" t="s">
        <v>46</v>
      </c>
      <c r="M1032" s="1" t="s">
        <v>161</v>
      </c>
      <c r="N1032" s="1" t="s">
        <v>48</v>
      </c>
      <c r="O1032" s="9">
        <v>10</v>
      </c>
      <c r="P1032" s="1">
        <f>ROUNDUP(710*(1-$F$3),2)</f>
        <v>710</v>
      </c>
      <c r="Q1032" s="1" t="s">
        <v>49</v>
      </c>
      <c r="R1032" s="1" t="s">
        <v>6106</v>
      </c>
      <c r="S1032" s="1" t="s">
        <v>6107</v>
      </c>
      <c r="T1032" s="9">
        <v>10</v>
      </c>
      <c r="U1032" s="1">
        <f>ROUNDUP(645.45*(1-$F$3),2)</f>
        <v>645.45000000000005</v>
      </c>
      <c r="V1032" s="1">
        <v>254</v>
      </c>
      <c r="Y1032" s="1" t="s">
        <v>6108</v>
      </c>
      <c r="Z1032" s="1" t="s">
        <v>711</v>
      </c>
      <c r="AA1032" s="12">
        <v>45141</v>
      </c>
      <c r="AB1032" s="1" t="s">
        <v>573</v>
      </c>
      <c r="AC1032" s="1" t="s">
        <v>66</v>
      </c>
      <c r="AD1032" s="1" t="s">
        <v>2756</v>
      </c>
      <c r="AE1032" s="1" t="s">
        <v>69</v>
      </c>
      <c r="AG1032" s="1">
        <v>11012430</v>
      </c>
    </row>
    <row r="1033" spans="2:33" s="1" customFormat="1" x14ac:dyDescent="0.25">
      <c r="C1033" s="1" t="s">
        <v>6109</v>
      </c>
      <c r="D1033" s="1" t="s">
        <v>6110</v>
      </c>
      <c r="E1033" s="1" t="s">
        <v>1759</v>
      </c>
      <c r="F1033" s="13" t="s">
        <v>6952</v>
      </c>
      <c r="G1033" s="1" t="s">
        <v>1723</v>
      </c>
      <c r="H1033" s="1" t="s">
        <v>61</v>
      </c>
      <c r="I1033" s="1">
        <v>624</v>
      </c>
      <c r="J1033" s="1" t="s">
        <v>46</v>
      </c>
      <c r="M1033" s="1" t="s">
        <v>47</v>
      </c>
      <c r="N1033" s="1" t="s">
        <v>139</v>
      </c>
      <c r="O1033" s="9">
        <v>4</v>
      </c>
      <c r="P1033" s="1">
        <f>ROUNDUP(1350*(1-$F$3),2)</f>
        <v>1350</v>
      </c>
      <c r="Q1033" s="1" t="s">
        <v>49</v>
      </c>
      <c r="R1033" s="1" t="s">
        <v>6111</v>
      </c>
      <c r="S1033" s="1" t="s">
        <v>6112</v>
      </c>
      <c r="T1033" s="9">
        <v>10</v>
      </c>
      <c r="U1033" s="1">
        <f>ROUNDUP(1227.27*(1-$F$3),2)</f>
        <v>1227.27</v>
      </c>
      <c r="V1033" s="1">
        <v>554</v>
      </c>
      <c r="Y1033" s="1" t="s">
        <v>1762</v>
      </c>
      <c r="Z1033" s="1" t="s">
        <v>128</v>
      </c>
      <c r="AA1033" s="12">
        <v>44342</v>
      </c>
      <c r="AB1033" s="1" t="s">
        <v>334</v>
      </c>
      <c r="AC1033" s="1" t="s">
        <v>892</v>
      </c>
      <c r="AD1033" s="1" t="s">
        <v>893</v>
      </c>
      <c r="AE1033" s="1" t="s">
        <v>69</v>
      </c>
      <c r="AG1033" s="1">
        <v>9706720</v>
      </c>
    </row>
    <row r="1034" spans="2:33" s="1" customFormat="1" x14ac:dyDescent="0.25">
      <c r="C1034" s="1" t="s">
        <v>6113</v>
      </c>
      <c r="D1034" s="1" t="s">
        <v>6114</v>
      </c>
      <c r="E1034" s="1" t="s">
        <v>2646</v>
      </c>
      <c r="F1034" s="13" t="s">
        <v>6952</v>
      </c>
      <c r="G1034" s="1" t="s">
        <v>843</v>
      </c>
      <c r="H1034" s="1" t="s">
        <v>61</v>
      </c>
      <c r="I1034" s="1">
        <v>320</v>
      </c>
      <c r="J1034" s="1" t="s">
        <v>46</v>
      </c>
      <c r="M1034" s="1" t="s">
        <v>47</v>
      </c>
      <c r="N1034" s="1" t="s">
        <v>48</v>
      </c>
      <c r="O1034" s="9">
        <v>10</v>
      </c>
      <c r="P1034" s="1">
        <f>ROUNDUP(1370*(1-$F$3),2)</f>
        <v>1370</v>
      </c>
      <c r="Q1034" s="1" t="s">
        <v>49</v>
      </c>
      <c r="R1034" s="1" t="s">
        <v>6115</v>
      </c>
      <c r="S1034" s="1" t="s">
        <v>6116</v>
      </c>
      <c r="T1034" s="9">
        <v>10</v>
      </c>
      <c r="U1034" s="1">
        <f>ROUNDUP(1245.45*(1-$F$3),2)</f>
        <v>1245.45</v>
      </c>
      <c r="V1034" s="1">
        <v>418</v>
      </c>
      <c r="Y1034" s="1" t="s">
        <v>2649</v>
      </c>
      <c r="Z1034" s="1" t="s">
        <v>53</v>
      </c>
      <c r="AA1034" s="12">
        <v>43099</v>
      </c>
      <c r="AB1034" s="1" t="s">
        <v>95</v>
      </c>
      <c r="AC1034" s="1" t="s">
        <v>112</v>
      </c>
      <c r="AD1034" s="1" t="s">
        <v>243</v>
      </c>
      <c r="AE1034" s="1" t="s">
        <v>69</v>
      </c>
      <c r="AG1034" s="1">
        <v>8433250</v>
      </c>
    </row>
    <row r="1035" spans="2:33" s="1" customFormat="1" x14ac:dyDescent="0.25">
      <c r="C1035" s="1" t="s">
        <v>6117</v>
      </c>
      <c r="D1035" s="1" t="s">
        <v>6114</v>
      </c>
      <c r="E1035" s="1" t="s">
        <v>6118</v>
      </c>
      <c r="F1035" s="13" t="s">
        <v>6952</v>
      </c>
      <c r="G1035" s="1" t="s">
        <v>843</v>
      </c>
      <c r="H1035" s="1" t="s">
        <v>61</v>
      </c>
      <c r="I1035" s="1">
        <v>496</v>
      </c>
      <c r="J1035" s="1" t="s">
        <v>46</v>
      </c>
      <c r="M1035" s="1" t="s">
        <v>47</v>
      </c>
      <c r="N1035" s="1" t="s">
        <v>48</v>
      </c>
      <c r="O1035" s="9">
        <v>6</v>
      </c>
      <c r="P1035" s="1">
        <f>ROUNDUP(1560*(1-$F$3),2)</f>
        <v>1560</v>
      </c>
      <c r="Q1035" s="1" t="s">
        <v>49</v>
      </c>
      <c r="R1035" s="1" t="s">
        <v>6119</v>
      </c>
      <c r="S1035" s="1" t="s">
        <v>6120</v>
      </c>
      <c r="T1035" s="9">
        <v>10</v>
      </c>
      <c r="U1035" s="1">
        <f>ROUNDUP(1418.18*(1-$F$3),2)</f>
        <v>1418.18</v>
      </c>
      <c r="V1035" s="1">
        <v>522</v>
      </c>
      <c r="Y1035" s="1" t="s">
        <v>6121</v>
      </c>
      <c r="Z1035" s="1" t="s">
        <v>53</v>
      </c>
      <c r="AA1035" s="12">
        <v>42702</v>
      </c>
      <c r="AB1035" s="1" t="s">
        <v>66</v>
      </c>
      <c r="AC1035" s="1" t="s">
        <v>143</v>
      </c>
      <c r="AD1035" s="1" t="s">
        <v>847</v>
      </c>
      <c r="AE1035" s="1" t="s">
        <v>69</v>
      </c>
      <c r="AG1035" s="1">
        <v>7917800</v>
      </c>
    </row>
    <row r="1036" spans="2:33" s="1" customFormat="1" x14ac:dyDescent="0.25">
      <c r="C1036" s="1" t="s">
        <v>6122</v>
      </c>
      <c r="D1036" s="1" t="s">
        <v>6123</v>
      </c>
      <c r="E1036" s="1" t="s">
        <v>6124</v>
      </c>
      <c r="F1036" s="13" t="s">
        <v>6952</v>
      </c>
      <c r="G1036" s="1" t="s">
        <v>6125</v>
      </c>
      <c r="H1036" s="1" t="s">
        <v>61</v>
      </c>
      <c r="I1036" s="1">
        <v>144</v>
      </c>
      <c r="J1036" s="1" t="s">
        <v>46</v>
      </c>
      <c r="M1036" s="1" t="s">
        <v>835</v>
      </c>
      <c r="N1036" s="1" t="s">
        <v>48</v>
      </c>
      <c r="O1036" s="9">
        <v>18</v>
      </c>
      <c r="P1036" s="1">
        <f>ROUNDUP(750*(1-$F$3),2)</f>
        <v>750</v>
      </c>
      <c r="Q1036" s="1" t="s">
        <v>49</v>
      </c>
      <c r="R1036" s="1" t="s">
        <v>6126</v>
      </c>
      <c r="S1036" s="1" t="s">
        <v>6127</v>
      </c>
      <c r="T1036" s="9">
        <v>10</v>
      </c>
      <c r="U1036" s="1">
        <f>ROUNDUP(681.82*(1-$F$3),2)</f>
        <v>681.82</v>
      </c>
      <c r="V1036" s="1">
        <v>257</v>
      </c>
      <c r="Y1036" s="1" t="s">
        <v>6128</v>
      </c>
      <c r="Z1036" s="1" t="s">
        <v>128</v>
      </c>
      <c r="AA1036" s="12">
        <v>43815</v>
      </c>
      <c r="AB1036" s="1" t="s">
        <v>66</v>
      </c>
      <c r="AC1036" s="1" t="s">
        <v>143</v>
      </c>
      <c r="AD1036" s="1" t="s">
        <v>847</v>
      </c>
      <c r="AE1036" s="1" t="s">
        <v>69</v>
      </c>
      <c r="AG1036" s="1">
        <v>9196400</v>
      </c>
    </row>
    <row r="1037" spans="2:33" s="1" customFormat="1" x14ac:dyDescent="0.25">
      <c r="C1037" s="1" t="s">
        <v>6129</v>
      </c>
      <c r="D1037" s="1" t="s">
        <v>6130</v>
      </c>
      <c r="E1037" s="1" t="s">
        <v>6131</v>
      </c>
      <c r="F1037" s="13" t="s">
        <v>6952</v>
      </c>
      <c r="G1037" s="1" t="s">
        <v>6132</v>
      </c>
      <c r="H1037" s="1" t="s">
        <v>61</v>
      </c>
      <c r="I1037" s="1">
        <v>464</v>
      </c>
      <c r="J1037" s="1" t="s">
        <v>46</v>
      </c>
      <c r="M1037" s="1" t="s">
        <v>161</v>
      </c>
      <c r="N1037" s="1" t="s">
        <v>48</v>
      </c>
      <c r="O1037" s="9">
        <v>6</v>
      </c>
      <c r="P1037" s="1">
        <f>ROUNDUP(1400*(1-$F$3),2)</f>
        <v>1400</v>
      </c>
      <c r="Q1037" s="1" t="s">
        <v>49</v>
      </c>
      <c r="R1037" s="1" t="s">
        <v>6133</v>
      </c>
      <c r="S1037" s="1" t="s">
        <v>6134</v>
      </c>
      <c r="T1037" s="9">
        <v>22</v>
      </c>
      <c r="U1037" s="1">
        <f>ROUNDUP(1147.54*(1-$F$3),2)</f>
        <v>1147.54</v>
      </c>
      <c r="V1037" s="1">
        <v>655</v>
      </c>
      <c r="Y1037" s="1" t="s">
        <v>6135</v>
      </c>
      <c r="Z1037" s="1" t="s">
        <v>76</v>
      </c>
      <c r="AA1037" s="12">
        <v>44896</v>
      </c>
      <c r="AB1037" s="1" t="s">
        <v>66</v>
      </c>
      <c r="AC1037" s="1" t="s">
        <v>67</v>
      </c>
      <c r="AD1037" s="1" t="s">
        <v>670</v>
      </c>
      <c r="AE1037" s="1" t="s">
        <v>69</v>
      </c>
      <c r="AG1037" s="1">
        <v>10724680</v>
      </c>
    </row>
    <row r="1038" spans="2:33" s="16" customFormat="1" ht="18" x14ac:dyDescent="0.25">
      <c r="B1038" s="16" t="s">
        <v>6955</v>
      </c>
      <c r="F1038" s="17"/>
      <c r="O1038" s="22"/>
      <c r="T1038" s="22"/>
      <c r="AA1038" s="18"/>
    </row>
    <row r="1039" spans="2:33" s="1" customFormat="1" x14ac:dyDescent="0.25">
      <c r="C1039" s="1" t="s">
        <v>6136</v>
      </c>
      <c r="D1039" s="1" t="s">
        <v>6137</v>
      </c>
      <c r="E1039" s="1" t="s">
        <v>6138</v>
      </c>
      <c r="F1039" s="13" t="s">
        <v>6952</v>
      </c>
      <c r="G1039" s="1" t="s">
        <v>6139</v>
      </c>
      <c r="H1039" s="1" t="s">
        <v>61</v>
      </c>
      <c r="I1039" s="1">
        <v>375</v>
      </c>
      <c r="J1039" s="1" t="s">
        <v>1566</v>
      </c>
      <c r="K1039" s="1" t="s">
        <v>6140</v>
      </c>
      <c r="M1039" s="1" t="s">
        <v>3298</v>
      </c>
      <c r="N1039" s="1" t="s">
        <v>48</v>
      </c>
      <c r="O1039" s="9">
        <v>12</v>
      </c>
      <c r="P1039" s="1">
        <f>ROUNDUP(1510*(1-$F$3),2)</f>
        <v>1510</v>
      </c>
      <c r="Q1039" s="1" t="s">
        <v>49</v>
      </c>
      <c r="R1039" s="1" t="s">
        <v>6141</v>
      </c>
      <c r="S1039" s="1" t="s">
        <v>6142</v>
      </c>
      <c r="T1039" s="9">
        <v>10</v>
      </c>
      <c r="U1039" s="1">
        <f>ROUNDUP(1372.73*(1-$F$3),2)</f>
        <v>1372.73</v>
      </c>
      <c r="V1039" s="1">
        <v>487</v>
      </c>
      <c r="Y1039" s="1" t="s">
        <v>6143</v>
      </c>
      <c r="AA1039" s="12">
        <v>42600</v>
      </c>
      <c r="AB1039" s="1" t="s">
        <v>95</v>
      </c>
      <c r="AC1039" s="1" t="s">
        <v>96</v>
      </c>
      <c r="AD1039" s="1" t="s">
        <v>1286</v>
      </c>
      <c r="AE1039" s="1" t="s">
        <v>49</v>
      </c>
      <c r="AG1039" s="1">
        <v>7692560</v>
      </c>
    </row>
    <row r="1040" spans="2:33" s="1" customFormat="1" x14ac:dyDescent="0.25">
      <c r="C1040" s="1" t="s">
        <v>6144</v>
      </c>
      <c r="D1040" s="1" t="s">
        <v>6137</v>
      </c>
      <c r="E1040" s="1" t="s">
        <v>6145</v>
      </c>
      <c r="F1040" s="13" t="s">
        <v>6952</v>
      </c>
      <c r="G1040" s="1" t="s">
        <v>6146</v>
      </c>
      <c r="H1040" s="1" t="s">
        <v>3007</v>
      </c>
      <c r="I1040" s="1">
        <v>550</v>
      </c>
      <c r="J1040" s="1" t="s">
        <v>1566</v>
      </c>
      <c r="K1040" s="1" t="s">
        <v>6140</v>
      </c>
      <c r="M1040" s="1" t="s">
        <v>3298</v>
      </c>
      <c r="N1040" s="1" t="s">
        <v>48</v>
      </c>
      <c r="O1040" s="9">
        <v>8</v>
      </c>
      <c r="P1040" s="1">
        <f>ROUNDUP(1854.1*(1-$F$3),2)</f>
        <v>1854.1</v>
      </c>
      <c r="Q1040" s="1" t="s">
        <v>49</v>
      </c>
      <c r="R1040" s="1" t="s">
        <v>6147</v>
      </c>
      <c r="S1040" s="1" t="s">
        <v>6148</v>
      </c>
      <c r="T1040" s="9">
        <v>10</v>
      </c>
      <c r="U1040" s="1">
        <f>ROUNDUP(1685.55*(1-$F$3),2)</f>
        <v>1685.55</v>
      </c>
      <c r="V1040" s="1">
        <v>664</v>
      </c>
      <c r="Y1040" s="1" t="s">
        <v>6149</v>
      </c>
      <c r="Z1040" s="1" t="s">
        <v>128</v>
      </c>
      <c r="AA1040" s="12">
        <v>42600</v>
      </c>
      <c r="AB1040" s="1" t="s">
        <v>95</v>
      </c>
      <c r="AC1040" s="1" t="s">
        <v>453</v>
      </c>
      <c r="AD1040" s="1" t="s">
        <v>3888</v>
      </c>
      <c r="AE1040" s="1" t="s">
        <v>49</v>
      </c>
      <c r="AG1040" s="1">
        <v>7692530</v>
      </c>
    </row>
    <row r="1041" spans="1:34" s="1" customFormat="1" x14ac:dyDescent="0.25">
      <c r="C1041" s="1" t="s">
        <v>6150</v>
      </c>
      <c r="D1041" s="1" t="s">
        <v>2875</v>
      </c>
      <c r="E1041" s="1" t="s">
        <v>6151</v>
      </c>
      <c r="F1041" s="13" t="s">
        <v>6952</v>
      </c>
      <c r="G1041" s="1" t="s">
        <v>6152</v>
      </c>
      <c r="H1041" s="1" t="s">
        <v>6153</v>
      </c>
      <c r="I1041" s="1">
        <v>447</v>
      </c>
      <c r="J1041" s="1" t="s">
        <v>1566</v>
      </c>
      <c r="K1041" s="1" t="s">
        <v>6140</v>
      </c>
      <c r="M1041" s="1" t="s">
        <v>987</v>
      </c>
      <c r="N1041" s="1" t="s">
        <v>48</v>
      </c>
      <c r="O1041" s="9">
        <v>10</v>
      </c>
      <c r="P1041" s="1">
        <f>ROUNDUP(1470*(1-$F$3),2)</f>
        <v>1470</v>
      </c>
      <c r="Q1041" s="1" t="s">
        <v>49</v>
      </c>
      <c r="R1041" s="1" t="s">
        <v>6154</v>
      </c>
      <c r="S1041" s="1" t="s">
        <v>6155</v>
      </c>
      <c r="T1041" s="9">
        <v>10</v>
      </c>
      <c r="U1041" s="1">
        <f>ROUNDUP(1336.36*(1-$F$3),2)</f>
        <v>1336.36</v>
      </c>
      <c r="V1041" s="1">
        <v>489</v>
      </c>
      <c r="Y1041" s="1" t="s">
        <v>6156</v>
      </c>
      <c r="Z1041" s="1" t="s">
        <v>128</v>
      </c>
      <c r="AA1041" s="12">
        <v>42706</v>
      </c>
      <c r="AB1041" s="1" t="s">
        <v>95</v>
      </c>
      <c r="AC1041" s="1" t="s">
        <v>313</v>
      </c>
      <c r="AD1041" s="1" t="s">
        <v>2410</v>
      </c>
      <c r="AE1041" s="1" t="s">
        <v>49</v>
      </c>
      <c r="AG1041" s="1">
        <v>7924260</v>
      </c>
    </row>
    <row r="1042" spans="1:34" s="1" customFormat="1" x14ac:dyDescent="0.25">
      <c r="C1042" s="1" t="s">
        <v>6157</v>
      </c>
      <c r="D1042" s="1" t="s">
        <v>3022</v>
      </c>
      <c r="E1042" s="1" t="s">
        <v>6158</v>
      </c>
      <c r="F1042" s="13" t="s">
        <v>6952</v>
      </c>
      <c r="G1042" s="1" t="s">
        <v>6159</v>
      </c>
      <c r="H1042" s="1" t="s">
        <v>1240</v>
      </c>
      <c r="I1042" s="1">
        <v>383</v>
      </c>
      <c r="J1042" s="1" t="s">
        <v>1566</v>
      </c>
      <c r="K1042" s="1" t="s">
        <v>6140</v>
      </c>
      <c r="M1042" s="1" t="s">
        <v>2310</v>
      </c>
      <c r="N1042" s="1" t="s">
        <v>139</v>
      </c>
      <c r="O1042" s="9">
        <v>10</v>
      </c>
      <c r="P1042" s="1">
        <f>ROUNDUP(860*(1-$F$3),2)</f>
        <v>860</v>
      </c>
      <c r="Q1042" s="1" t="s">
        <v>49</v>
      </c>
      <c r="R1042" s="1" t="s">
        <v>6160</v>
      </c>
      <c r="S1042" s="1" t="s">
        <v>6161</v>
      </c>
      <c r="T1042" s="9">
        <v>10</v>
      </c>
      <c r="U1042" s="1">
        <f>ROUNDUP(781.82*(1-$F$3),2)</f>
        <v>781.82</v>
      </c>
      <c r="V1042" s="1">
        <v>287</v>
      </c>
      <c r="Y1042" s="1" t="s">
        <v>6162</v>
      </c>
      <c r="Z1042" s="1" t="s">
        <v>128</v>
      </c>
      <c r="AA1042" s="12">
        <v>43073</v>
      </c>
      <c r="AB1042" s="1" t="s">
        <v>445</v>
      </c>
      <c r="AC1042" s="1" t="s">
        <v>1975</v>
      </c>
      <c r="AD1042" s="1" t="s">
        <v>1975</v>
      </c>
      <c r="AE1042" s="1" t="s">
        <v>69</v>
      </c>
      <c r="AG1042" s="1">
        <v>8426660</v>
      </c>
    </row>
    <row r="1043" spans="1:34" s="1" customFormat="1" x14ac:dyDescent="0.25">
      <c r="C1043" s="1" t="s">
        <v>6163</v>
      </c>
      <c r="D1043" s="1" t="s">
        <v>4327</v>
      </c>
      <c r="E1043" s="1" t="s">
        <v>6164</v>
      </c>
      <c r="F1043" s="13" t="s">
        <v>6952</v>
      </c>
      <c r="G1043" s="1" t="s">
        <v>2946</v>
      </c>
      <c r="H1043" s="1" t="s">
        <v>61</v>
      </c>
      <c r="I1043" s="1">
        <v>527</v>
      </c>
      <c r="J1043" s="1" t="s">
        <v>1566</v>
      </c>
      <c r="K1043" s="1" t="s">
        <v>6140</v>
      </c>
      <c r="M1043" s="1" t="s">
        <v>2310</v>
      </c>
      <c r="N1043" s="1" t="s">
        <v>48</v>
      </c>
      <c r="O1043" s="9">
        <v>6</v>
      </c>
      <c r="P1043" s="1">
        <f>ROUNDUP(1690*(1-$F$3),2)</f>
        <v>1690</v>
      </c>
      <c r="Q1043" s="1" t="s">
        <v>49</v>
      </c>
      <c r="R1043" s="1" t="s">
        <v>6165</v>
      </c>
      <c r="S1043" s="1" t="s">
        <v>6166</v>
      </c>
      <c r="T1043" s="9">
        <v>10</v>
      </c>
      <c r="U1043" s="1">
        <f>ROUNDUP(1536.36*(1-$F$3),2)</f>
        <v>1536.36</v>
      </c>
      <c r="V1043" s="1">
        <v>661</v>
      </c>
      <c r="Y1043" s="1" t="s">
        <v>6167</v>
      </c>
      <c r="Z1043" s="1" t="s">
        <v>128</v>
      </c>
      <c r="AA1043" s="12">
        <v>43143</v>
      </c>
      <c r="AB1043" s="1" t="s">
        <v>234</v>
      </c>
      <c r="AC1043" s="1" t="s">
        <v>235</v>
      </c>
      <c r="AD1043" s="1" t="s">
        <v>236</v>
      </c>
      <c r="AE1043" s="1" t="s">
        <v>69</v>
      </c>
      <c r="AG1043" s="1">
        <v>8488670</v>
      </c>
    </row>
    <row r="1044" spans="1:34" s="1" customFormat="1" x14ac:dyDescent="0.25">
      <c r="C1044" s="1" t="s">
        <v>6168</v>
      </c>
      <c r="D1044" s="1" t="s">
        <v>6169</v>
      </c>
      <c r="E1044" s="1" t="s">
        <v>6170</v>
      </c>
      <c r="F1044" s="13" t="s">
        <v>6952</v>
      </c>
      <c r="G1044" s="1" t="s">
        <v>1747</v>
      </c>
      <c r="H1044" s="1" t="s">
        <v>61</v>
      </c>
      <c r="I1044" s="1">
        <v>416</v>
      </c>
      <c r="J1044" s="1" t="s">
        <v>1566</v>
      </c>
      <c r="M1044" s="1" t="s">
        <v>169</v>
      </c>
      <c r="N1044" s="1" t="s">
        <v>48</v>
      </c>
      <c r="O1044" s="9">
        <v>8</v>
      </c>
      <c r="P1044" s="1">
        <f>ROUNDUP(1340*(1-$F$3),2)</f>
        <v>1340</v>
      </c>
      <c r="Q1044" s="1" t="s">
        <v>49</v>
      </c>
      <c r="R1044" s="1" t="s">
        <v>6171</v>
      </c>
      <c r="S1044" s="1" t="s">
        <v>6172</v>
      </c>
      <c r="T1044" s="9">
        <v>10</v>
      </c>
      <c r="U1044" s="1">
        <f>ROUNDUP(1218.18*(1-$F$3),2)</f>
        <v>1218.18</v>
      </c>
      <c r="V1044" s="1">
        <v>504</v>
      </c>
      <c r="Y1044" s="1" t="s">
        <v>6173</v>
      </c>
      <c r="Z1044" s="1" t="s">
        <v>128</v>
      </c>
      <c r="AA1044" s="12">
        <v>43124</v>
      </c>
      <c r="AB1044" s="1" t="s">
        <v>86</v>
      </c>
      <c r="AC1044" s="1" t="s">
        <v>87</v>
      </c>
      <c r="AD1044" s="1" t="s">
        <v>415</v>
      </c>
      <c r="AE1044" s="1" t="s">
        <v>69</v>
      </c>
      <c r="AG1044" s="1">
        <v>8471260</v>
      </c>
    </row>
    <row r="1045" spans="1:34" s="1" customFormat="1" x14ac:dyDescent="0.25">
      <c r="C1045" s="1" t="s">
        <v>6174</v>
      </c>
      <c r="D1045" s="1" t="s">
        <v>5290</v>
      </c>
      <c r="E1045" s="1" t="s">
        <v>6175</v>
      </c>
      <c r="F1045" s="13" t="s">
        <v>6952</v>
      </c>
      <c r="G1045" s="1" t="s">
        <v>6176</v>
      </c>
      <c r="H1045" s="1" t="s">
        <v>160</v>
      </c>
      <c r="I1045" s="1">
        <v>400</v>
      </c>
      <c r="J1045" s="1" t="s">
        <v>1566</v>
      </c>
      <c r="K1045" s="1" t="s">
        <v>6140</v>
      </c>
      <c r="M1045" s="1" t="s">
        <v>2310</v>
      </c>
      <c r="N1045" s="1" t="s">
        <v>48</v>
      </c>
      <c r="O1045" s="9">
        <v>10</v>
      </c>
      <c r="P1045" s="1">
        <f>ROUNDUP(1260*(1-$F$3),2)</f>
        <v>1260</v>
      </c>
      <c r="Q1045" s="1" t="s">
        <v>49</v>
      </c>
      <c r="R1045" s="1" t="s">
        <v>6177</v>
      </c>
      <c r="S1045" s="1" t="s">
        <v>6178</v>
      </c>
      <c r="T1045" s="9">
        <v>10</v>
      </c>
      <c r="U1045" s="1">
        <f>ROUNDUP(1145.45*(1-$F$3),2)</f>
        <v>1145.45</v>
      </c>
      <c r="V1045" s="1">
        <v>446</v>
      </c>
      <c r="Y1045" s="1" t="s">
        <v>6179</v>
      </c>
      <c r="Z1045" s="1" t="s">
        <v>128</v>
      </c>
      <c r="AA1045" s="12">
        <v>42829</v>
      </c>
      <c r="AB1045" s="1" t="s">
        <v>66</v>
      </c>
      <c r="AC1045" s="1" t="s">
        <v>67</v>
      </c>
      <c r="AD1045" s="1" t="s">
        <v>68</v>
      </c>
      <c r="AE1045" s="1" t="s">
        <v>69</v>
      </c>
      <c r="AG1045" s="1">
        <v>8111480</v>
      </c>
    </row>
    <row r="1046" spans="1:34" s="16" customFormat="1" ht="18" x14ac:dyDescent="0.25">
      <c r="B1046" s="16" t="s">
        <v>6956</v>
      </c>
      <c r="F1046" s="17"/>
      <c r="O1046" s="22"/>
      <c r="T1046" s="22"/>
      <c r="AA1046" s="18"/>
    </row>
    <row r="1047" spans="1:34" s="1" customFormat="1" x14ac:dyDescent="0.25">
      <c r="C1047" s="1" t="s">
        <v>6180</v>
      </c>
      <c r="D1047" s="1" t="s">
        <v>5290</v>
      </c>
      <c r="E1047" s="1" t="s">
        <v>6181</v>
      </c>
      <c r="F1047" s="13" t="s">
        <v>6952</v>
      </c>
      <c r="G1047" s="1" t="s">
        <v>6182</v>
      </c>
      <c r="H1047" s="1" t="s">
        <v>61</v>
      </c>
      <c r="I1047" s="1">
        <v>208</v>
      </c>
      <c r="J1047" s="1" t="s">
        <v>1566</v>
      </c>
      <c r="K1047" s="1" t="s">
        <v>6140</v>
      </c>
      <c r="M1047" s="1" t="s">
        <v>2310</v>
      </c>
      <c r="N1047" s="1" t="s">
        <v>48</v>
      </c>
      <c r="O1047" s="9">
        <v>18</v>
      </c>
      <c r="P1047" s="1">
        <f>ROUNDUP(384*(1-$F$3),2)</f>
        <v>384</v>
      </c>
      <c r="Q1047" s="1" t="s">
        <v>49</v>
      </c>
      <c r="R1047" s="1" t="s">
        <v>6183</v>
      </c>
      <c r="S1047" s="1" t="s">
        <v>6184</v>
      </c>
      <c r="T1047" s="9">
        <v>10</v>
      </c>
      <c r="U1047" s="1">
        <f>ROUNDUP(349.09*(1-$F$3),2)</f>
        <v>349.09</v>
      </c>
      <c r="V1047" s="1">
        <v>331</v>
      </c>
      <c r="Y1047" s="1" t="s">
        <v>6185</v>
      </c>
      <c r="Z1047" s="1" t="s">
        <v>1757</v>
      </c>
      <c r="AA1047" s="12">
        <v>42920</v>
      </c>
      <c r="AB1047" s="1" t="s">
        <v>6186</v>
      </c>
      <c r="AC1047" s="1" t="s">
        <v>6187</v>
      </c>
      <c r="AE1047" s="1" t="s">
        <v>69</v>
      </c>
      <c r="AG1047" s="1">
        <v>8206110</v>
      </c>
    </row>
    <row r="1048" spans="1:34" s="11" customFormat="1" x14ac:dyDescent="0.25">
      <c r="A1048" s="11" t="s">
        <v>6953</v>
      </c>
      <c r="C1048" s="11" t="s">
        <v>6188</v>
      </c>
      <c r="D1048" s="11" t="s">
        <v>886</v>
      </c>
      <c r="E1048" s="11" t="s">
        <v>966</v>
      </c>
      <c r="F1048" s="14" t="s">
        <v>6952</v>
      </c>
      <c r="G1048" s="11" t="s">
        <v>503</v>
      </c>
      <c r="H1048" s="11" t="s">
        <v>160</v>
      </c>
      <c r="I1048" s="11">
        <v>274</v>
      </c>
      <c r="J1048" s="11" t="s">
        <v>46</v>
      </c>
      <c r="M1048" s="11" t="s">
        <v>62</v>
      </c>
      <c r="N1048" s="11" t="s">
        <v>48</v>
      </c>
      <c r="O1048" s="23">
        <v>10</v>
      </c>
      <c r="P1048" s="11">
        <f>ROUNDUP(979*(1-$F$3),2)</f>
        <v>979</v>
      </c>
      <c r="Q1048" s="11" t="s">
        <v>49</v>
      </c>
      <c r="R1048" s="11" t="s">
        <v>6189</v>
      </c>
      <c r="S1048" s="11" t="s">
        <v>6190</v>
      </c>
      <c r="T1048" s="23">
        <v>22</v>
      </c>
      <c r="U1048" s="11">
        <f>ROUNDUP(802.46*(1-$F$3),2)</f>
        <v>802.46</v>
      </c>
      <c r="V1048" s="11">
        <v>332</v>
      </c>
      <c r="Y1048" s="11" t="s">
        <v>969</v>
      </c>
      <c r="Z1048" s="11" t="s">
        <v>128</v>
      </c>
      <c r="AA1048" s="15">
        <v>44039</v>
      </c>
      <c r="AB1048" s="11" t="s">
        <v>6186</v>
      </c>
      <c r="AC1048" s="11" t="s">
        <v>5671</v>
      </c>
      <c r="AE1048" s="11" t="s">
        <v>69</v>
      </c>
      <c r="AG1048" s="11">
        <v>9455040</v>
      </c>
    </row>
    <row r="1049" spans="1:34" s="1" customFormat="1" x14ac:dyDescent="0.25">
      <c r="C1049" s="1" t="s">
        <v>6191</v>
      </c>
      <c r="D1049" s="1" t="s">
        <v>3736</v>
      </c>
      <c r="E1049" s="1" t="s">
        <v>6192</v>
      </c>
      <c r="F1049" s="13" t="s">
        <v>6952</v>
      </c>
      <c r="G1049" s="1" t="s">
        <v>3738</v>
      </c>
      <c r="H1049" s="1" t="s">
        <v>61</v>
      </c>
      <c r="I1049" s="1">
        <v>800</v>
      </c>
      <c r="J1049" s="1" t="s">
        <v>46</v>
      </c>
      <c r="M1049" s="1" t="s">
        <v>47</v>
      </c>
      <c r="N1049" s="1" t="s">
        <v>48</v>
      </c>
      <c r="O1049" s="9">
        <v>4</v>
      </c>
      <c r="P1049" s="1">
        <f>ROUNDUP(3140*(1-$F$3),2)</f>
        <v>3140</v>
      </c>
      <c r="Q1049" s="1" t="s">
        <v>49</v>
      </c>
      <c r="R1049" s="1" t="s">
        <v>6193</v>
      </c>
      <c r="S1049" s="1" t="s">
        <v>6194</v>
      </c>
      <c r="T1049" s="9">
        <v>10</v>
      </c>
      <c r="U1049" s="1">
        <f>ROUNDUP(2854.55*(1-$F$3),2)</f>
        <v>2854.55</v>
      </c>
      <c r="V1049" s="1">
        <v>912</v>
      </c>
      <c r="Y1049" s="1" t="s">
        <v>6195</v>
      </c>
      <c r="Z1049" s="1" t="s">
        <v>128</v>
      </c>
      <c r="AA1049" s="12">
        <v>42490</v>
      </c>
      <c r="AB1049" s="1" t="s">
        <v>6186</v>
      </c>
      <c r="AC1049" s="1" t="s">
        <v>719</v>
      </c>
      <c r="AE1049" s="1" t="s">
        <v>69</v>
      </c>
      <c r="AG1049" s="1">
        <v>7548470</v>
      </c>
    </row>
    <row r="1050" spans="1:34" s="1" customFormat="1" x14ac:dyDescent="0.25">
      <c r="C1050" s="1" t="s">
        <v>6196</v>
      </c>
      <c r="D1050" s="1" t="s">
        <v>3736</v>
      </c>
      <c r="E1050" s="1" t="s">
        <v>6197</v>
      </c>
      <c r="F1050" s="13" t="s">
        <v>6952</v>
      </c>
      <c r="G1050" s="1" t="s">
        <v>715</v>
      </c>
      <c r="H1050" s="1" t="s">
        <v>61</v>
      </c>
      <c r="I1050" s="1">
        <v>320</v>
      </c>
      <c r="J1050" s="1" t="s">
        <v>46</v>
      </c>
      <c r="M1050" s="1" t="s">
        <v>161</v>
      </c>
      <c r="N1050" s="1" t="s">
        <v>48</v>
      </c>
      <c r="O1050" s="9">
        <v>10</v>
      </c>
      <c r="P1050" s="1">
        <f>ROUNDUP(1260*(1-$F$3),2)</f>
        <v>1260</v>
      </c>
      <c r="Q1050" s="1" t="s">
        <v>49</v>
      </c>
      <c r="R1050" s="1" t="s">
        <v>6198</v>
      </c>
      <c r="S1050" s="1" t="s">
        <v>6199</v>
      </c>
      <c r="T1050" s="9">
        <v>10</v>
      </c>
      <c r="U1050" s="1">
        <f>ROUNDUP(1145.45*(1-$F$3),2)</f>
        <v>1145.45</v>
      </c>
      <c r="V1050" s="1">
        <v>439</v>
      </c>
      <c r="Y1050" s="1" t="s">
        <v>6200</v>
      </c>
      <c r="Z1050" s="1" t="s">
        <v>128</v>
      </c>
      <c r="AA1050" s="12">
        <v>44900</v>
      </c>
      <c r="AB1050" s="1" t="s">
        <v>6186</v>
      </c>
      <c r="AC1050" s="1" t="s">
        <v>719</v>
      </c>
      <c r="AE1050" s="1" t="s">
        <v>69</v>
      </c>
      <c r="AG1050" s="1">
        <v>10739180</v>
      </c>
    </row>
    <row r="1051" spans="1:34" s="1" customFormat="1" x14ac:dyDescent="0.25">
      <c r="C1051" s="1" t="s">
        <v>6201</v>
      </c>
      <c r="D1051" s="1" t="s">
        <v>6202</v>
      </c>
      <c r="E1051" s="1" t="s">
        <v>6203</v>
      </c>
      <c r="F1051" s="13" t="s">
        <v>6952</v>
      </c>
      <c r="G1051" s="1" t="s">
        <v>3738</v>
      </c>
      <c r="H1051" s="1" t="s">
        <v>82</v>
      </c>
      <c r="I1051" s="1">
        <v>312</v>
      </c>
      <c r="J1051" s="1" t="s">
        <v>46</v>
      </c>
      <c r="M1051" s="1" t="s">
        <v>169</v>
      </c>
      <c r="N1051" s="1" t="s">
        <v>48</v>
      </c>
      <c r="O1051" s="9">
        <v>6</v>
      </c>
      <c r="P1051" s="1">
        <f>ROUNDUP(2750*(1-$F$3),2)</f>
        <v>2750</v>
      </c>
      <c r="Q1051" s="1" t="s">
        <v>49</v>
      </c>
      <c r="R1051" s="1" t="s">
        <v>6204</v>
      </c>
      <c r="S1051" s="1" t="s">
        <v>6205</v>
      </c>
      <c r="T1051" s="9">
        <v>10</v>
      </c>
      <c r="U1051" s="1">
        <f>ROUNDUP(2500*(1-$F$3),2)</f>
        <v>2500</v>
      </c>
      <c r="V1051" s="1">
        <v>613</v>
      </c>
      <c r="Y1051" s="1" t="s">
        <v>6206</v>
      </c>
      <c r="Z1051" s="1" t="s">
        <v>128</v>
      </c>
      <c r="AA1051" s="12">
        <v>44777</v>
      </c>
      <c r="AB1051" s="1" t="s">
        <v>6186</v>
      </c>
      <c r="AC1051" s="1" t="s">
        <v>719</v>
      </c>
      <c r="AE1051" s="1" t="s">
        <v>69</v>
      </c>
      <c r="AG1051" s="1">
        <v>10451600</v>
      </c>
    </row>
    <row r="1052" spans="1:34" s="1" customFormat="1" x14ac:dyDescent="0.25">
      <c r="C1052" s="1" t="s">
        <v>6207</v>
      </c>
      <c r="D1052" s="1" t="s">
        <v>6208</v>
      </c>
      <c r="E1052" s="1" t="s">
        <v>6209</v>
      </c>
      <c r="F1052" s="13" t="s">
        <v>6952</v>
      </c>
      <c r="G1052" s="1" t="s">
        <v>6210</v>
      </c>
      <c r="H1052" s="1" t="s">
        <v>160</v>
      </c>
      <c r="I1052" s="1">
        <v>416</v>
      </c>
      <c r="J1052" s="1" t="s">
        <v>46</v>
      </c>
      <c r="M1052" s="1" t="s">
        <v>2310</v>
      </c>
      <c r="N1052" s="1" t="s">
        <v>48</v>
      </c>
      <c r="O1052" s="9">
        <v>10</v>
      </c>
      <c r="P1052" s="1">
        <f>ROUNDUP(700*(1-$F$3),2)</f>
        <v>700</v>
      </c>
      <c r="Q1052" s="1" t="s">
        <v>49</v>
      </c>
      <c r="R1052" s="1" t="s">
        <v>6211</v>
      </c>
      <c r="S1052" s="1" t="s">
        <v>6212</v>
      </c>
      <c r="T1052" s="9">
        <v>10</v>
      </c>
      <c r="U1052" s="1">
        <f>ROUNDUP(636.36*(1-$F$3),2)</f>
        <v>636.36</v>
      </c>
      <c r="V1052" s="1">
        <v>336</v>
      </c>
      <c r="Y1052" s="1" t="s">
        <v>6213</v>
      </c>
      <c r="Z1052" s="1" t="s">
        <v>128</v>
      </c>
      <c r="AA1052" s="12">
        <v>43356</v>
      </c>
      <c r="AB1052" s="1" t="s">
        <v>6186</v>
      </c>
      <c r="AC1052" s="1" t="s">
        <v>6187</v>
      </c>
      <c r="AE1052" s="1" t="s">
        <v>69</v>
      </c>
      <c r="AG1052" s="1">
        <v>8729470</v>
      </c>
    </row>
    <row r="1053" spans="1:34" s="1" customFormat="1" x14ac:dyDescent="0.25">
      <c r="C1053" s="1" t="s">
        <v>6214</v>
      </c>
      <c r="D1053" s="1" t="s">
        <v>6208</v>
      </c>
      <c r="E1053" s="1" t="s">
        <v>6215</v>
      </c>
      <c r="F1053" s="13" t="s">
        <v>6952</v>
      </c>
      <c r="G1053" s="1" t="s">
        <v>6216</v>
      </c>
      <c r="H1053" s="1" t="s">
        <v>160</v>
      </c>
      <c r="I1053" s="1">
        <v>303</v>
      </c>
      <c r="J1053" s="1" t="s">
        <v>46</v>
      </c>
      <c r="K1053" s="1" t="s">
        <v>6217</v>
      </c>
      <c r="M1053" s="1" t="s">
        <v>1061</v>
      </c>
      <c r="N1053" s="1" t="s">
        <v>48</v>
      </c>
      <c r="O1053" s="9">
        <v>12</v>
      </c>
      <c r="P1053" s="1">
        <f>ROUNDUP(710*(1-$F$3),2)</f>
        <v>710</v>
      </c>
      <c r="Q1053" s="1" t="s">
        <v>49</v>
      </c>
      <c r="R1053" s="1" t="s">
        <v>6218</v>
      </c>
      <c r="S1053" s="1" t="s">
        <v>6219</v>
      </c>
      <c r="T1053" s="9">
        <v>10</v>
      </c>
      <c r="U1053" s="1">
        <f>ROUNDUP(645.45*(1-$F$3),2)</f>
        <v>645.45000000000005</v>
      </c>
      <c r="V1053" s="1">
        <v>271</v>
      </c>
      <c r="Y1053" s="1" t="s">
        <v>6220</v>
      </c>
      <c r="Z1053" s="1" t="s">
        <v>128</v>
      </c>
      <c r="AA1053" s="12">
        <v>43489</v>
      </c>
      <c r="AB1053" s="1" t="s">
        <v>6186</v>
      </c>
      <c r="AC1053" s="1" t="s">
        <v>6187</v>
      </c>
      <c r="AE1053" s="1" t="s">
        <v>878</v>
      </c>
      <c r="AG1053" s="1">
        <v>8919070</v>
      </c>
      <c r="AH1053" s="1" t="s">
        <v>6221</v>
      </c>
    </row>
    <row r="1054" spans="1:34" s="16" customFormat="1" ht="18" x14ac:dyDescent="0.25">
      <c r="B1054" s="16" t="s">
        <v>6957</v>
      </c>
      <c r="F1054" s="17"/>
      <c r="O1054" s="22"/>
      <c r="T1054" s="22"/>
      <c r="AA1054" s="18"/>
    </row>
    <row r="1055" spans="1:34" s="19" customFormat="1" ht="16.5" x14ac:dyDescent="0.25">
      <c r="B1055" s="19" t="s">
        <v>6958</v>
      </c>
      <c r="F1055" s="20"/>
      <c r="O1055" s="24"/>
      <c r="T1055" s="24"/>
      <c r="AA1055" s="21"/>
    </row>
    <row r="1056" spans="1:34" s="1" customFormat="1" x14ac:dyDescent="0.25">
      <c r="C1056" s="1" t="s">
        <v>6222</v>
      </c>
      <c r="E1056" s="1" t="s">
        <v>6223</v>
      </c>
      <c r="F1056" s="13" t="s">
        <v>6952</v>
      </c>
      <c r="G1056" s="1" t="s">
        <v>6224</v>
      </c>
      <c r="H1056" s="1" t="s">
        <v>160</v>
      </c>
      <c r="I1056" s="1">
        <v>896</v>
      </c>
      <c r="J1056" s="1" t="s">
        <v>6225</v>
      </c>
      <c r="K1056" s="1" t="s">
        <v>204</v>
      </c>
      <c r="M1056" s="1" t="s">
        <v>161</v>
      </c>
      <c r="N1056" s="1" t="s">
        <v>139</v>
      </c>
      <c r="O1056" s="9"/>
      <c r="P1056" s="1">
        <f>ROUNDUP(2800*(1-$F$3),2)</f>
        <v>2800</v>
      </c>
      <c r="Q1056" s="1" t="s">
        <v>49</v>
      </c>
      <c r="R1056" s="1" t="s">
        <v>6226</v>
      </c>
      <c r="S1056" s="1" t="s">
        <v>6227</v>
      </c>
      <c r="T1056" s="9">
        <v>22</v>
      </c>
      <c r="U1056" s="1">
        <f>ROUNDUP(2295.08*(1-$F$3),2)</f>
        <v>2295.08</v>
      </c>
      <c r="V1056" s="1">
        <v>752</v>
      </c>
      <c r="Y1056" s="1" t="s">
        <v>6228</v>
      </c>
      <c r="Z1056" s="1" t="s">
        <v>76</v>
      </c>
      <c r="AA1056" s="12">
        <v>45603</v>
      </c>
      <c r="AB1056" s="1" t="s">
        <v>66</v>
      </c>
      <c r="AC1056" s="1" t="s">
        <v>143</v>
      </c>
      <c r="AD1056" s="1" t="s">
        <v>4104</v>
      </c>
      <c r="AE1056" s="1" t="s">
        <v>69</v>
      </c>
      <c r="AG1056" s="1">
        <v>11541290</v>
      </c>
    </row>
    <row r="1057" spans="1:33" s="1" customFormat="1" x14ac:dyDescent="0.25">
      <c r="C1057" s="1" t="s">
        <v>6229</v>
      </c>
      <c r="E1057" s="1" t="s">
        <v>6230</v>
      </c>
      <c r="F1057" s="13" t="s">
        <v>6952</v>
      </c>
      <c r="G1057" s="1" t="s">
        <v>6224</v>
      </c>
      <c r="H1057" s="1" t="s">
        <v>160</v>
      </c>
      <c r="I1057" s="1">
        <v>960</v>
      </c>
      <c r="J1057" s="1" t="s">
        <v>6225</v>
      </c>
      <c r="K1057" s="1" t="s">
        <v>204</v>
      </c>
      <c r="M1057" s="1" t="s">
        <v>161</v>
      </c>
      <c r="N1057" s="1" t="s">
        <v>139</v>
      </c>
      <c r="O1057" s="9"/>
      <c r="P1057" s="1">
        <f>ROUNDUP(2990*(1-$F$3),2)</f>
        <v>2990</v>
      </c>
      <c r="Q1057" s="1" t="s">
        <v>49</v>
      </c>
      <c r="R1057" s="1" t="s">
        <v>6231</v>
      </c>
      <c r="S1057" s="1" t="s">
        <v>6232</v>
      </c>
      <c r="T1057" s="9">
        <v>22</v>
      </c>
      <c r="U1057" s="1">
        <f>ROUNDUP(2450.82*(1-$F$3),2)</f>
        <v>2450.8200000000002</v>
      </c>
      <c r="V1057" s="1">
        <v>805</v>
      </c>
      <c r="Y1057" s="1" t="s">
        <v>6233</v>
      </c>
      <c r="Z1057" s="1" t="s">
        <v>76</v>
      </c>
      <c r="AA1057" s="12">
        <v>45603</v>
      </c>
      <c r="AB1057" s="1" t="s">
        <v>66</v>
      </c>
      <c r="AC1057" s="1" t="s">
        <v>143</v>
      </c>
      <c r="AD1057" s="1" t="s">
        <v>4104</v>
      </c>
      <c r="AE1057" s="1" t="s">
        <v>69</v>
      </c>
      <c r="AG1057" s="1">
        <v>11541280</v>
      </c>
    </row>
    <row r="1058" spans="1:33" s="1" customFormat="1" x14ac:dyDescent="0.25">
      <c r="C1058" s="1" t="s">
        <v>6234</v>
      </c>
      <c r="E1058" s="1" t="s">
        <v>6235</v>
      </c>
      <c r="F1058" s="13" t="s">
        <v>6952</v>
      </c>
      <c r="G1058" s="1" t="s">
        <v>6236</v>
      </c>
      <c r="H1058" s="1" t="s">
        <v>160</v>
      </c>
      <c r="I1058" s="1">
        <v>688</v>
      </c>
      <c r="J1058" s="1" t="s">
        <v>6225</v>
      </c>
      <c r="K1058" s="1" t="s">
        <v>204</v>
      </c>
      <c r="M1058" s="1" t="s">
        <v>62</v>
      </c>
      <c r="N1058" s="1" t="s">
        <v>48</v>
      </c>
      <c r="O1058" s="9"/>
      <c r="P1058" s="1">
        <f>ROUNDUP(1791*(1-$F$3),2)</f>
        <v>1791</v>
      </c>
      <c r="Q1058" s="1" t="s">
        <v>49</v>
      </c>
      <c r="R1058" s="1" t="s">
        <v>6237</v>
      </c>
      <c r="S1058" s="1" t="s">
        <v>6238</v>
      </c>
      <c r="T1058" s="9">
        <v>10</v>
      </c>
      <c r="U1058" s="1">
        <f>ROUNDUP(1628.18*(1-$F$3),2)</f>
        <v>1628.18</v>
      </c>
      <c r="V1058" s="1">
        <v>768</v>
      </c>
      <c r="Y1058" s="1" t="s">
        <v>6239</v>
      </c>
      <c r="Z1058" s="1" t="s">
        <v>53</v>
      </c>
      <c r="AA1058" s="12">
        <v>46083</v>
      </c>
      <c r="AB1058" s="1" t="s">
        <v>66</v>
      </c>
      <c r="AC1058" s="1" t="s">
        <v>67</v>
      </c>
      <c r="AD1058" s="1" t="s">
        <v>165</v>
      </c>
      <c r="AE1058" s="1" t="s">
        <v>69</v>
      </c>
      <c r="AG1058" s="1">
        <v>12054380</v>
      </c>
    </row>
    <row r="1059" spans="1:33" s="11" customFormat="1" x14ac:dyDescent="0.25">
      <c r="A1059" s="11" t="s">
        <v>6953</v>
      </c>
      <c r="C1059" s="11" t="s">
        <v>6240</v>
      </c>
      <c r="E1059" s="11" t="s">
        <v>6241</v>
      </c>
      <c r="F1059" s="14" t="s">
        <v>6952</v>
      </c>
      <c r="G1059" s="11" t="s">
        <v>6242</v>
      </c>
      <c r="H1059" s="11" t="s">
        <v>61</v>
      </c>
      <c r="I1059" s="11">
        <v>700</v>
      </c>
      <c r="J1059" s="11" t="s">
        <v>6225</v>
      </c>
      <c r="M1059" s="11" t="s">
        <v>62</v>
      </c>
      <c r="N1059" s="11" t="s">
        <v>48</v>
      </c>
      <c r="O1059" s="23"/>
      <c r="P1059" s="11">
        <f>ROUNDUP(2690*(1-$F$3),2)</f>
        <v>2690</v>
      </c>
      <c r="Q1059" s="11" t="s">
        <v>49</v>
      </c>
      <c r="R1059" s="11" t="s">
        <v>6243</v>
      </c>
      <c r="S1059" s="11" t="s">
        <v>6244</v>
      </c>
      <c r="T1059" s="23">
        <v>22</v>
      </c>
      <c r="U1059" s="11">
        <f>ROUNDUP(2204.92*(1-$F$3),2)</f>
        <v>2204.92</v>
      </c>
      <c r="V1059" s="11">
        <v>911</v>
      </c>
      <c r="Y1059" s="11" t="s">
        <v>6245</v>
      </c>
      <c r="Z1059" s="11" t="s">
        <v>76</v>
      </c>
      <c r="AA1059" s="15">
        <v>46122</v>
      </c>
      <c r="AB1059" s="11" t="s">
        <v>66</v>
      </c>
      <c r="AC1059" s="11" t="s">
        <v>67</v>
      </c>
      <c r="AD1059" s="11" t="s">
        <v>180</v>
      </c>
      <c r="AE1059" s="11" t="s">
        <v>69</v>
      </c>
      <c r="AG1059" s="11">
        <v>12095200</v>
      </c>
    </row>
    <row r="1060" spans="1:33" s="11" customFormat="1" x14ac:dyDescent="0.25">
      <c r="A1060" s="11" t="s">
        <v>6953</v>
      </c>
      <c r="C1060" s="11" t="s">
        <v>6246</v>
      </c>
      <c r="E1060" s="11" t="s">
        <v>6247</v>
      </c>
      <c r="F1060" s="14" t="s">
        <v>6952</v>
      </c>
      <c r="G1060" s="11" t="s">
        <v>6242</v>
      </c>
      <c r="H1060" s="11" t="s">
        <v>61</v>
      </c>
      <c r="I1060" s="11">
        <v>400</v>
      </c>
      <c r="J1060" s="11" t="s">
        <v>6225</v>
      </c>
      <c r="K1060" s="11" t="s">
        <v>204</v>
      </c>
      <c r="M1060" s="11" t="s">
        <v>62</v>
      </c>
      <c r="N1060" s="11" t="s">
        <v>48</v>
      </c>
      <c r="O1060" s="23">
        <v>7</v>
      </c>
      <c r="P1060" s="11">
        <f>ROUNDUP(1200*(1-$F$3),2)</f>
        <v>1200</v>
      </c>
      <c r="Q1060" s="11" t="s">
        <v>49</v>
      </c>
      <c r="R1060" s="11" t="s">
        <v>6248</v>
      </c>
      <c r="S1060" s="11" t="s">
        <v>6249</v>
      </c>
      <c r="T1060" s="23">
        <v>22</v>
      </c>
      <c r="U1060" s="11">
        <f>ROUNDUP(983.61*(1-$F$3),2)</f>
        <v>983.61</v>
      </c>
      <c r="V1060" s="11">
        <v>572</v>
      </c>
      <c r="Y1060" s="11" t="s">
        <v>6250</v>
      </c>
      <c r="Z1060" s="11" t="s">
        <v>76</v>
      </c>
      <c r="AA1060" s="15">
        <v>46112</v>
      </c>
      <c r="AB1060" s="11" t="s">
        <v>66</v>
      </c>
      <c r="AC1060" s="11" t="s">
        <v>67</v>
      </c>
      <c r="AD1060" s="11" t="s">
        <v>180</v>
      </c>
      <c r="AE1060" s="11" t="s">
        <v>69</v>
      </c>
      <c r="AG1060" s="11">
        <v>12075740</v>
      </c>
    </row>
    <row r="1061" spans="1:33" s="1" customFormat="1" x14ac:dyDescent="0.25">
      <c r="C1061" s="1" t="s">
        <v>6251</v>
      </c>
      <c r="E1061" s="1" t="s">
        <v>6252</v>
      </c>
      <c r="F1061" s="13" t="s">
        <v>6952</v>
      </c>
      <c r="G1061" s="1" t="s">
        <v>6253</v>
      </c>
      <c r="H1061" s="1" t="s">
        <v>160</v>
      </c>
      <c r="I1061" s="1">
        <v>384</v>
      </c>
      <c r="J1061" s="1" t="s">
        <v>6225</v>
      </c>
      <c r="K1061" s="1" t="s">
        <v>204</v>
      </c>
      <c r="M1061" s="1" t="s">
        <v>62</v>
      </c>
      <c r="N1061" s="1" t="s">
        <v>48</v>
      </c>
      <c r="O1061" s="9">
        <v>10</v>
      </c>
      <c r="P1061" s="1">
        <f>ROUNDUP(1210*(1-$F$3),2)</f>
        <v>1210</v>
      </c>
      <c r="Q1061" s="1" t="s">
        <v>49</v>
      </c>
      <c r="R1061" s="1" t="s">
        <v>6254</v>
      </c>
      <c r="S1061" s="1" t="s">
        <v>6255</v>
      </c>
      <c r="T1061" s="9">
        <v>10</v>
      </c>
      <c r="U1061" s="1">
        <f>ROUNDUP(1100*(1-$F$3),2)</f>
        <v>1100</v>
      </c>
      <c r="V1061" s="1">
        <v>486</v>
      </c>
      <c r="Y1061" s="1" t="s">
        <v>6256</v>
      </c>
      <c r="Z1061" s="1" t="s">
        <v>53</v>
      </c>
      <c r="AA1061" s="12">
        <v>45987</v>
      </c>
      <c r="AB1061" s="1" t="s">
        <v>66</v>
      </c>
      <c r="AC1061" s="1" t="s">
        <v>67</v>
      </c>
      <c r="AD1061" s="1" t="s">
        <v>180</v>
      </c>
      <c r="AE1061" s="1" t="s">
        <v>69</v>
      </c>
      <c r="AG1061" s="1">
        <v>11954500</v>
      </c>
    </row>
    <row r="1062" spans="1:33" s="1" customFormat="1" x14ac:dyDescent="0.25">
      <c r="C1062" s="1" t="s">
        <v>6257</v>
      </c>
      <c r="E1062" s="1" t="s">
        <v>6258</v>
      </c>
      <c r="F1062" s="13" t="s">
        <v>6952</v>
      </c>
      <c r="G1062" s="1" t="s">
        <v>6253</v>
      </c>
      <c r="H1062" s="1" t="s">
        <v>160</v>
      </c>
      <c r="I1062" s="1">
        <v>384</v>
      </c>
      <c r="J1062" s="1" t="s">
        <v>6225</v>
      </c>
      <c r="K1062" s="1" t="s">
        <v>204</v>
      </c>
      <c r="M1062" s="1" t="s">
        <v>62</v>
      </c>
      <c r="N1062" s="1" t="s">
        <v>48</v>
      </c>
      <c r="O1062" s="9">
        <v>10</v>
      </c>
      <c r="P1062" s="1">
        <f>ROUNDUP(1410*(1-$F$3),2)</f>
        <v>1410</v>
      </c>
      <c r="Q1062" s="1" t="s">
        <v>49</v>
      </c>
      <c r="R1062" s="1" t="s">
        <v>6259</v>
      </c>
      <c r="S1062" s="1" t="s">
        <v>6260</v>
      </c>
      <c r="T1062" s="9">
        <v>10</v>
      </c>
      <c r="U1062" s="1">
        <f>ROUNDUP(1281.82*(1-$F$3),2)</f>
        <v>1281.82</v>
      </c>
      <c r="V1062" s="1">
        <v>485</v>
      </c>
      <c r="Y1062" s="1" t="s">
        <v>6261</v>
      </c>
      <c r="Z1062" s="1" t="s">
        <v>53</v>
      </c>
      <c r="AA1062" s="12">
        <v>45987</v>
      </c>
      <c r="AB1062" s="1" t="s">
        <v>66</v>
      </c>
      <c r="AC1062" s="1" t="s">
        <v>67</v>
      </c>
      <c r="AD1062" s="1" t="s">
        <v>180</v>
      </c>
      <c r="AE1062" s="1" t="s">
        <v>69</v>
      </c>
      <c r="AG1062" s="1">
        <v>11956490</v>
      </c>
    </row>
    <row r="1063" spans="1:33" s="1" customFormat="1" x14ac:dyDescent="0.25">
      <c r="C1063" s="1" t="s">
        <v>6262</v>
      </c>
      <c r="E1063" s="1" t="s">
        <v>6263</v>
      </c>
      <c r="F1063" s="13" t="s">
        <v>6952</v>
      </c>
      <c r="G1063" s="1" t="s">
        <v>6264</v>
      </c>
      <c r="H1063" s="1" t="s">
        <v>160</v>
      </c>
      <c r="I1063" s="1">
        <v>864</v>
      </c>
      <c r="J1063" s="1" t="s">
        <v>6225</v>
      </c>
      <c r="K1063" s="1" t="s">
        <v>204</v>
      </c>
      <c r="M1063" s="1" t="s">
        <v>62</v>
      </c>
      <c r="N1063" s="1" t="s">
        <v>139</v>
      </c>
      <c r="O1063" s="9"/>
      <c r="P1063" s="1">
        <f>ROUNDUP(1550*(1-$F$3),2)</f>
        <v>1550</v>
      </c>
      <c r="Q1063" s="1" t="s">
        <v>49</v>
      </c>
      <c r="R1063" s="1" t="s">
        <v>6265</v>
      </c>
      <c r="S1063" s="1" t="s">
        <v>6266</v>
      </c>
      <c r="T1063" s="9">
        <v>10</v>
      </c>
      <c r="U1063" s="1">
        <f>ROUNDUP(1409.09*(1-$F$3),2)</f>
        <v>1409.09</v>
      </c>
      <c r="V1063" s="1">
        <v>764</v>
      </c>
      <c r="Y1063" s="1" t="s">
        <v>6267</v>
      </c>
      <c r="Z1063" s="1" t="s">
        <v>53</v>
      </c>
      <c r="AA1063" s="12">
        <v>45792</v>
      </c>
      <c r="AB1063" s="1" t="s">
        <v>66</v>
      </c>
      <c r="AC1063" s="1" t="s">
        <v>120</v>
      </c>
      <c r="AD1063" s="1" t="s">
        <v>121</v>
      </c>
      <c r="AE1063" s="1" t="s">
        <v>69</v>
      </c>
      <c r="AG1063" s="1">
        <v>11757510</v>
      </c>
    </row>
    <row r="1064" spans="1:33" s="1" customFormat="1" x14ac:dyDescent="0.25">
      <c r="C1064" s="1" t="s">
        <v>6268</v>
      </c>
      <c r="E1064" s="1" t="s">
        <v>6269</v>
      </c>
      <c r="F1064" s="13" t="s">
        <v>6952</v>
      </c>
      <c r="G1064" s="1" t="s">
        <v>6270</v>
      </c>
      <c r="H1064" s="1" t="s">
        <v>384</v>
      </c>
      <c r="I1064" s="1">
        <v>352</v>
      </c>
      <c r="J1064" s="1" t="s">
        <v>6225</v>
      </c>
      <c r="K1064" s="1" t="s">
        <v>204</v>
      </c>
      <c r="M1064" s="1" t="s">
        <v>176</v>
      </c>
      <c r="N1064" s="1" t="s">
        <v>48</v>
      </c>
      <c r="O1064" s="9">
        <v>6</v>
      </c>
      <c r="P1064" s="1">
        <f>ROUNDUP(980*(1-$F$3),2)</f>
        <v>980</v>
      </c>
      <c r="Q1064" s="1" t="s">
        <v>49</v>
      </c>
      <c r="R1064" s="1" t="s">
        <v>6271</v>
      </c>
      <c r="S1064" s="1" t="s">
        <v>6272</v>
      </c>
      <c r="T1064" s="9">
        <v>22</v>
      </c>
      <c r="U1064" s="1">
        <f>ROUNDUP(803.28*(1-$F$3),2)</f>
        <v>803.28</v>
      </c>
      <c r="V1064" s="1">
        <v>277</v>
      </c>
      <c r="Y1064" s="1" t="s">
        <v>6273</v>
      </c>
      <c r="Z1064" s="1" t="s">
        <v>76</v>
      </c>
      <c r="AA1064" s="12">
        <v>45603</v>
      </c>
      <c r="AB1064" s="1" t="s">
        <v>66</v>
      </c>
      <c r="AC1064" s="1" t="s">
        <v>143</v>
      </c>
      <c r="AD1064" s="1" t="s">
        <v>144</v>
      </c>
      <c r="AE1064" s="1" t="s">
        <v>69</v>
      </c>
      <c r="AG1064" s="1">
        <v>11541480</v>
      </c>
    </row>
    <row r="1065" spans="1:33" s="1" customFormat="1" x14ac:dyDescent="0.25">
      <c r="C1065" s="1" t="s">
        <v>6274</v>
      </c>
      <c r="E1065" s="1" t="s">
        <v>6275</v>
      </c>
      <c r="F1065" s="13" t="s">
        <v>6952</v>
      </c>
      <c r="G1065" s="1" t="s">
        <v>6276</v>
      </c>
      <c r="H1065" s="1" t="s">
        <v>160</v>
      </c>
      <c r="I1065" s="1">
        <v>352</v>
      </c>
      <c r="J1065" s="1" t="s">
        <v>6225</v>
      </c>
      <c r="K1065" s="1" t="s">
        <v>204</v>
      </c>
      <c r="M1065" s="1" t="s">
        <v>47</v>
      </c>
      <c r="N1065" s="1" t="s">
        <v>48</v>
      </c>
      <c r="O1065" s="9">
        <v>12</v>
      </c>
      <c r="P1065" s="1">
        <f>ROUNDUP(890*(1-$F$3),2)</f>
        <v>890</v>
      </c>
      <c r="Q1065" s="1" t="s">
        <v>49</v>
      </c>
      <c r="R1065" s="1" t="s">
        <v>6277</v>
      </c>
      <c r="S1065" s="1" t="s">
        <v>6278</v>
      </c>
      <c r="T1065" s="9">
        <v>10</v>
      </c>
      <c r="U1065" s="1">
        <f>ROUNDUP(809.09*(1-$F$3),2)</f>
        <v>809.09</v>
      </c>
      <c r="V1065" s="1">
        <v>393</v>
      </c>
      <c r="Y1065" s="1" t="s">
        <v>6279</v>
      </c>
      <c r="Z1065" s="1" t="s">
        <v>53</v>
      </c>
      <c r="AA1065" s="12">
        <v>45914</v>
      </c>
      <c r="AB1065" s="1" t="s">
        <v>66</v>
      </c>
      <c r="AC1065" s="1" t="s">
        <v>120</v>
      </c>
      <c r="AD1065" s="1" t="s">
        <v>343</v>
      </c>
      <c r="AE1065" s="1" t="s">
        <v>69</v>
      </c>
      <c r="AG1065" s="1">
        <v>11856800</v>
      </c>
    </row>
    <row r="1066" spans="1:33" s="1" customFormat="1" x14ac:dyDescent="0.25">
      <c r="C1066" s="1" t="s">
        <v>6280</v>
      </c>
      <c r="E1066" s="1" t="s">
        <v>6281</v>
      </c>
      <c r="F1066" s="13" t="s">
        <v>6952</v>
      </c>
      <c r="G1066" s="1" t="s">
        <v>6282</v>
      </c>
      <c r="H1066" s="1" t="s">
        <v>160</v>
      </c>
      <c r="I1066" s="1">
        <v>1056</v>
      </c>
      <c r="J1066" s="1" t="s">
        <v>6225</v>
      </c>
      <c r="K1066" s="1" t="s">
        <v>204</v>
      </c>
      <c r="M1066" s="1" t="s">
        <v>176</v>
      </c>
      <c r="N1066" s="1" t="s">
        <v>48</v>
      </c>
      <c r="O1066" s="9"/>
      <c r="P1066" s="1">
        <f>ROUNDUP(2990*(1-$F$3),2)</f>
        <v>2990</v>
      </c>
      <c r="Q1066" s="1" t="s">
        <v>49</v>
      </c>
      <c r="R1066" s="1" t="s">
        <v>6283</v>
      </c>
      <c r="S1066" s="1" t="s">
        <v>6284</v>
      </c>
      <c r="T1066" s="9">
        <v>22</v>
      </c>
      <c r="U1066" s="1">
        <f>ROUNDUP(2450.82*(1-$F$3),2)</f>
        <v>2450.8200000000002</v>
      </c>
      <c r="V1066" s="1">
        <v>934</v>
      </c>
      <c r="Y1066" s="1" t="s">
        <v>6285</v>
      </c>
      <c r="Z1066" s="1" t="s">
        <v>76</v>
      </c>
      <c r="AA1066" s="12">
        <v>45603</v>
      </c>
      <c r="AB1066" s="1" t="s">
        <v>66</v>
      </c>
      <c r="AC1066" s="1" t="s">
        <v>120</v>
      </c>
      <c r="AD1066" s="1" t="s">
        <v>343</v>
      </c>
      <c r="AE1066" s="1" t="s">
        <v>69</v>
      </c>
      <c r="AG1066" s="1">
        <v>11541320</v>
      </c>
    </row>
    <row r="1067" spans="1:33" s="1" customFormat="1" x14ac:dyDescent="0.25">
      <c r="C1067" s="1" t="s">
        <v>6286</v>
      </c>
      <c r="E1067" s="1" t="s">
        <v>6287</v>
      </c>
      <c r="F1067" s="13" t="s">
        <v>6952</v>
      </c>
      <c r="G1067" s="1" t="s">
        <v>6288</v>
      </c>
      <c r="H1067" s="1" t="s">
        <v>160</v>
      </c>
      <c r="I1067" s="1">
        <v>352</v>
      </c>
      <c r="J1067" s="1" t="s">
        <v>6225</v>
      </c>
      <c r="K1067" s="1" t="s">
        <v>204</v>
      </c>
      <c r="M1067" s="1" t="s">
        <v>47</v>
      </c>
      <c r="N1067" s="1" t="s">
        <v>48</v>
      </c>
      <c r="O1067" s="9">
        <v>10</v>
      </c>
      <c r="P1067" s="1">
        <f>ROUNDUP(1000*(1-$F$3),2)</f>
        <v>1000</v>
      </c>
      <c r="Q1067" s="1" t="s">
        <v>49</v>
      </c>
      <c r="R1067" s="1" t="s">
        <v>6289</v>
      </c>
      <c r="S1067" s="1" t="s">
        <v>6290</v>
      </c>
      <c r="T1067" s="9">
        <v>22</v>
      </c>
      <c r="U1067" s="1">
        <f>ROUNDUP(819.67*(1-$F$3),2)</f>
        <v>819.67</v>
      </c>
      <c r="V1067" s="1">
        <v>361</v>
      </c>
      <c r="Y1067" s="1" t="s">
        <v>6291</v>
      </c>
      <c r="Z1067" s="1" t="s">
        <v>76</v>
      </c>
      <c r="AA1067" s="12">
        <v>45759</v>
      </c>
      <c r="AB1067" s="1" t="s">
        <v>66</v>
      </c>
      <c r="AC1067" s="1" t="s">
        <v>120</v>
      </c>
      <c r="AD1067" s="1" t="s">
        <v>343</v>
      </c>
      <c r="AE1067" s="1" t="s">
        <v>69</v>
      </c>
      <c r="AG1067" s="1">
        <v>11694040</v>
      </c>
    </row>
    <row r="1068" spans="1:33" s="1" customFormat="1" x14ac:dyDescent="0.25">
      <c r="C1068" s="1" t="s">
        <v>6292</v>
      </c>
      <c r="E1068" s="1" t="s">
        <v>6293</v>
      </c>
      <c r="F1068" s="13" t="s">
        <v>6952</v>
      </c>
      <c r="G1068" s="1" t="s">
        <v>6294</v>
      </c>
      <c r="H1068" s="1" t="s">
        <v>160</v>
      </c>
      <c r="I1068" s="1">
        <v>320</v>
      </c>
      <c r="J1068" s="1" t="s">
        <v>6225</v>
      </c>
      <c r="K1068" s="1" t="s">
        <v>204</v>
      </c>
      <c r="M1068" s="1" t="s">
        <v>47</v>
      </c>
      <c r="N1068" s="1" t="s">
        <v>48</v>
      </c>
      <c r="O1068" s="9">
        <v>16</v>
      </c>
      <c r="P1068" s="1">
        <f>ROUNDUP(1000*(1-$F$3),2)</f>
        <v>1000</v>
      </c>
      <c r="Q1068" s="1" t="s">
        <v>49</v>
      </c>
      <c r="R1068" s="1" t="s">
        <v>6295</v>
      </c>
      <c r="S1068" s="1" t="s">
        <v>6296</v>
      </c>
      <c r="T1068" s="9">
        <v>22</v>
      </c>
      <c r="U1068" s="1">
        <f>ROUNDUP(819.67*(1-$F$3),2)</f>
        <v>819.67</v>
      </c>
      <c r="V1068" s="1">
        <v>343</v>
      </c>
      <c r="Y1068" s="1" t="s">
        <v>6297</v>
      </c>
      <c r="Z1068" s="1" t="s">
        <v>76</v>
      </c>
      <c r="AA1068" s="12">
        <v>45720</v>
      </c>
      <c r="AB1068" s="1" t="s">
        <v>66</v>
      </c>
      <c r="AC1068" s="1" t="s">
        <v>143</v>
      </c>
      <c r="AD1068" s="1" t="s">
        <v>847</v>
      </c>
      <c r="AE1068" s="1" t="s">
        <v>69</v>
      </c>
      <c r="AG1068" s="1">
        <v>11659740</v>
      </c>
    </row>
    <row r="1069" spans="1:33" s="1" customFormat="1" x14ac:dyDescent="0.25">
      <c r="C1069" s="1" t="s">
        <v>6298</v>
      </c>
      <c r="E1069" s="1" t="s">
        <v>6299</v>
      </c>
      <c r="F1069" s="13" t="s">
        <v>6952</v>
      </c>
      <c r="G1069" s="1" t="s">
        <v>6300</v>
      </c>
      <c r="H1069" s="1" t="s">
        <v>160</v>
      </c>
      <c r="I1069" s="1">
        <v>272</v>
      </c>
      <c r="J1069" s="1" t="s">
        <v>6225</v>
      </c>
      <c r="K1069" s="1" t="s">
        <v>204</v>
      </c>
      <c r="M1069" s="1" t="s">
        <v>161</v>
      </c>
      <c r="N1069" s="1" t="s">
        <v>139</v>
      </c>
      <c r="O1069" s="9">
        <v>6</v>
      </c>
      <c r="P1069" s="1">
        <f>ROUNDUP(770*(1-$F$3),2)</f>
        <v>770</v>
      </c>
      <c r="Q1069" s="1" t="s">
        <v>49</v>
      </c>
      <c r="R1069" s="1" t="s">
        <v>6301</v>
      </c>
      <c r="S1069" s="1" t="s">
        <v>6302</v>
      </c>
      <c r="T1069" s="9">
        <v>10</v>
      </c>
      <c r="U1069" s="1">
        <f>ROUNDUP(700*(1-$F$3),2)</f>
        <v>700</v>
      </c>
      <c r="V1069" s="1">
        <v>219</v>
      </c>
      <c r="Y1069" s="1" t="s">
        <v>6303</v>
      </c>
      <c r="Z1069" s="1" t="s">
        <v>53</v>
      </c>
      <c r="AA1069" s="12">
        <v>45603</v>
      </c>
      <c r="AB1069" s="1" t="s">
        <v>66</v>
      </c>
      <c r="AC1069" s="1" t="s">
        <v>120</v>
      </c>
      <c r="AD1069" s="1" t="s">
        <v>343</v>
      </c>
      <c r="AE1069" s="1" t="s">
        <v>69</v>
      </c>
      <c r="AG1069" s="1">
        <v>11540920</v>
      </c>
    </row>
    <row r="1070" spans="1:33" s="11" customFormat="1" x14ac:dyDescent="0.25">
      <c r="A1070" s="11" t="s">
        <v>6953</v>
      </c>
      <c r="C1070" s="11" t="s">
        <v>6304</v>
      </c>
      <c r="D1070" s="11" t="s">
        <v>6305</v>
      </c>
      <c r="E1070" s="11" t="s">
        <v>6306</v>
      </c>
      <c r="F1070" s="14" t="s">
        <v>6952</v>
      </c>
      <c r="G1070" s="11" t="s">
        <v>6307</v>
      </c>
      <c r="H1070" s="11" t="s">
        <v>160</v>
      </c>
      <c r="I1070" s="11">
        <v>272</v>
      </c>
      <c r="J1070" s="11" t="s">
        <v>6225</v>
      </c>
      <c r="K1070" s="11" t="s">
        <v>204</v>
      </c>
      <c r="M1070" s="11" t="s">
        <v>62</v>
      </c>
      <c r="N1070" s="11" t="s">
        <v>48</v>
      </c>
      <c r="O1070" s="23">
        <v>16</v>
      </c>
      <c r="P1070" s="11">
        <f>ROUNDUP(950*(1-$F$3),2)</f>
        <v>950</v>
      </c>
      <c r="Q1070" s="11" t="s">
        <v>49</v>
      </c>
      <c r="R1070" s="11" t="s">
        <v>6308</v>
      </c>
      <c r="S1070" s="11" t="s">
        <v>6309</v>
      </c>
      <c r="T1070" s="23">
        <v>10</v>
      </c>
      <c r="U1070" s="11">
        <f>ROUNDUP(863.64*(1-$F$3),2)</f>
        <v>863.64</v>
      </c>
      <c r="V1070" s="11">
        <v>316</v>
      </c>
      <c r="Y1070" s="11" t="s">
        <v>6310</v>
      </c>
      <c r="Z1070" s="11" t="s">
        <v>53</v>
      </c>
      <c r="AA1070" s="15">
        <v>46106</v>
      </c>
      <c r="AB1070" s="11" t="s">
        <v>66</v>
      </c>
      <c r="AC1070" s="11" t="s">
        <v>143</v>
      </c>
      <c r="AD1070" s="11" t="s">
        <v>847</v>
      </c>
      <c r="AE1070" s="11" t="s">
        <v>69</v>
      </c>
      <c r="AG1070" s="11">
        <v>12050580</v>
      </c>
    </row>
    <row r="1071" spans="1:33" s="1" customFormat="1" x14ac:dyDescent="0.25">
      <c r="C1071" s="1" t="s">
        <v>6311</v>
      </c>
      <c r="D1071" s="1" t="s">
        <v>6305</v>
      </c>
      <c r="E1071" s="1" t="s">
        <v>6312</v>
      </c>
      <c r="F1071" s="13" t="s">
        <v>6952</v>
      </c>
      <c r="G1071" s="1" t="s">
        <v>6307</v>
      </c>
      <c r="H1071" s="1" t="s">
        <v>160</v>
      </c>
      <c r="I1071" s="1">
        <v>320</v>
      </c>
      <c r="J1071" s="1" t="s">
        <v>6225</v>
      </c>
      <c r="K1071" s="1" t="s">
        <v>204</v>
      </c>
      <c r="M1071" s="1" t="s">
        <v>62</v>
      </c>
      <c r="N1071" s="1" t="s">
        <v>48</v>
      </c>
      <c r="O1071" s="9">
        <v>16</v>
      </c>
      <c r="P1071" s="1">
        <f>ROUNDUP(960*(1-$F$3),2)</f>
        <v>960</v>
      </c>
      <c r="Q1071" s="1" t="s">
        <v>49</v>
      </c>
      <c r="R1071" s="1" t="s">
        <v>6313</v>
      </c>
      <c r="S1071" s="1" t="s">
        <v>6314</v>
      </c>
      <c r="T1071" s="9">
        <v>10</v>
      </c>
      <c r="U1071" s="1">
        <f>ROUNDUP(872.73*(1-$F$3),2)</f>
        <v>872.73</v>
      </c>
      <c r="V1071" s="1">
        <v>358</v>
      </c>
      <c r="Y1071" s="1" t="s">
        <v>6315</v>
      </c>
      <c r="Z1071" s="1" t="s">
        <v>53</v>
      </c>
      <c r="AA1071" s="12">
        <v>45972</v>
      </c>
      <c r="AB1071" s="1" t="s">
        <v>66</v>
      </c>
      <c r="AC1071" s="1" t="s">
        <v>143</v>
      </c>
      <c r="AD1071" s="1" t="s">
        <v>847</v>
      </c>
      <c r="AE1071" s="1" t="s">
        <v>69</v>
      </c>
      <c r="AG1071" s="1">
        <v>11919820</v>
      </c>
    </row>
    <row r="1072" spans="1:33" s="1" customFormat="1" x14ac:dyDescent="0.25">
      <c r="C1072" s="1" t="s">
        <v>6316</v>
      </c>
      <c r="D1072" s="1" t="s">
        <v>6305</v>
      </c>
      <c r="E1072" s="1" t="s">
        <v>6317</v>
      </c>
      <c r="F1072" s="13" t="s">
        <v>6952</v>
      </c>
      <c r="G1072" s="1" t="s">
        <v>6318</v>
      </c>
      <c r="H1072" s="1" t="s">
        <v>160</v>
      </c>
      <c r="I1072" s="1">
        <v>640</v>
      </c>
      <c r="J1072" s="1" t="s">
        <v>6225</v>
      </c>
      <c r="K1072" s="1" t="s">
        <v>204</v>
      </c>
      <c r="M1072" s="1" t="s">
        <v>47</v>
      </c>
      <c r="N1072" s="1" t="s">
        <v>48</v>
      </c>
      <c r="O1072" s="9">
        <v>6</v>
      </c>
      <c r="P1072" s="1">
        <f>ROUNDUP(1520*(1-$F$3),2)</f>
        <v>1520</v>
      </c>
      <c r="Q1072" s="1" t="s">
        <v>49</v>
      </c>
      <c r="R1072" s="1" t="s">
        <v>6319</v>
      </c>
      <c r="S1072" s="1" t="s">
        <v>6320</v>
      </c>
      <c r="T1072" s="9">
        <v>10</v>
      </c>
      <c r="U1072" s="1">
        <f>ROUNDUP(1381.82*(1-$F$3),2)</f>
        <v>1381.82</v>
      </c>
      <c r="V1072" s="1">
        <v>641</v>
      </c>
      <c r="Y1072" s="1" t="s">
        <v>6321</v>
      </c>
      <c r="Z1072" s="1" t="s">
        <v>53</v>
      </c>
      <c r="AA1072" s="12">
        <v>45791</v>
      </c>
      <c r="AB1072" s="1" t="s">
        <v>66</v>
      </c>
      <c r="AC1072" s="1" t="s">
        <v>143</v>
      </c>
      <c r="AD1072" s="1" t="s">
        <v>847</v>
      </c>
      <c r="AE1072" s="1" t="s">
        <v>69</v>
      </c>
      <c r="AG1072" s="1">
        <v>11708580</v>
      </c>
    </row>
    <row r="1073" spans="1:33" s="1" customFormat="1" x14ac:dyDescent="0.25">
      <c r="C1073" s="1" t="s">
        <v>6322</v>
      </c>
      <c r="D1073" s="1" t="s">
        <v>6323</v>
      </c>
      <c r="E1073" s="1" t="s">
        <v>6324</v>
      </c>
      <c r="F1073" s="13" t="s">
        <v>6952</v>
      </c>
      <c r="G1073" s="1" t="s">
        <v>6282</v>
      </c>
      <c r="H1073" s="1" t="s">
        <v>160</v>
      </c>
      <c r="I1073" s="1">
        <v>368</v>
      </c>
      <c r="J1073" s="1" t="s">
        <v>6225</v>
      </c>
      <c r="K1073" s="1" t="s">
        <v>204</v>
      </c>
      <c r="M1073" s="1" t="s">
        <v>161</v>
      </c>
      <c r="N1073" s="1" t="s">
        <v>48</v>
      </c>
      <c r="O1073" s="9">
        <v>14</v>
      </c>
      <c r="P1073" s="1">
        <f>ROUNDUP(1650*(1-$F$3),2)</f>
        <v>1650</v>
      </c>
      <c r="Q1073" s="1" t="s">
        <v>49</v>
      </c>
      <c r="R1073" s="1" t="s">
        <v>6325</v>
      </c>
      <c r="S1073" s="1" t="s">
        <v>6326</v>
      </c>
      <c r="T1073" s="9">
        <v>22</v>
      </c>
      <c r="U1073" s="1">
        <f>ROUNDUP(1352.46*(1-$F$3),2)</f>
        <v>1352.46</v>
      </c>
      <c r="V1073" s="1">
        <v>392</v>
      </c>
      <c r="Y1073" s="1" t="s">
        <v>6327</v>
      </c>
      <c r="Z1073" s="1" t="s">
        <v>76</v>
      </c>
      <c r="AA1073" s="12">
        <v>45603</v>
      </c>
      <c r="AB1073" s="1" t="s">
        <v>66</v>
      </c>
      <c r="AC1073" s="1" t="s">
        <v>120</v>
      </c>
      <c r="AD1073" s="1" t="s">
        <v>343</v>
      </c>
      <c r="AE1073" s="1" t="s">
        <v>69</v>
      </c>
      <c r="AG1073" s="1">
        <v>11540840</v>
      </c>
    </row>
    <row r="1074" spans="1:33" s="1" customFormat="1" x14ac:dyDescent="0.25">
      <c r="C1074" s="1" t="s">
        <v>6328</v>
      </c>
      <c r="D1074" s="1" t="s">
        <v>6323</v>
      </c>
      <c r="E1074" s="1" t="s">
        <v>6329</v>
      </c>
      <c r="F1074" s="13" t="s">
        <v>6952</v>
      </c>
      <c r="G1074" s="1" t="s">
        <v>6282</v>
      </c>
      <c r="H1074" s="1" t="s">
        <v>160</v>
      </c>
      <c r="I1074" s="1">
        <v>704</v>
      </c>
      <c r="J1074" s="1" t="s">
        <v>6225</v>
      </c>
      <c r="K1074" s="1" t="s">
        <v>204</v>
      </c>
      <c r="M1074" s="1" t="s">
        <v>161</v>
      </c>
      <c r="N1074" s="1" t="s">
        <v>48</v>
      </c>
      <c r="O1074" s="9"/>
      <c r="P1074" s="1">
        <f>ROUNDUP(2230*(1-$F$3),2)</f>
        <v>2230</v>
      </c>
      <c r="Q1074" s="1" t="s">
        <v>49</v>
      </c>
      <c r="R1074" s="1" t="s">
        <v>6330</v>
      </c>
      <c r="S1074" s="1" t="s">
        <v>6331</v>
      </c>
      <c r="T1074" s="9">
        <v>22</v>
      </c>
      <c r="U1074" s="1">
        <f>ROUNDUP(1827.87*(1-$F$3),2)</f>
        <v>1827.87</v>
      </c>
      <c r="V1074" s="1">
        <v>663</v>
      </c>
      <c r="Y1074" s="1" t="s">
        <v>6332</v>
      </c>
      <c r="Z1074" s="1" t="s">
        <v>76</v>
      </c>
      <c r="AA1074" s="12">
        <v>45603</v>
      </c>
      <c r="AB1074" s="1" t="s">
        <v>66</v>
      </c>
      <c r="AC1074" s="1" t="s">
        <v>120</v>
      </c>
      <c r="AD1074" s="1" t="s">
        <v>343</v>
      </c>
      <c r="AE1074" s="1" t="s">
        <v>69</v>
      </c>
      <c r="AG1074" s="1">
        <v>11541010</v>
      </c>
    </row>
    <row r="1075" spans="1:33" s="1" customFormat="1" x14ac:dyDescent="0.25">
      <c r="C1075" s="1" t="s">
        <v>6333</v>
      </c>
      <c r="D1075" s="1" t="s">
        <v>6323</v>
      </c>
      <c r="E1075" s="1" t="s">
        <v>6334</v>
      </c>
      <c r="F1075" s="13" t="s">
        <v>6952</v>
      </c>
      <c r="G1075" s="1" t="s">
        <v>6282</v>
      </c>
      <c r="H1075" s="1" t="s">
        <v>160</v>
      </c>
      <c r="I1075" s="1">
        <v>336</v>
      </c>
      <c r="J1075" s="1" t="s">
        <v>6225</v>
      </c>
      <c r="K1075" s="1" t="s">
        <v>204</v>
      </c>
      <c r="M1075" s="1" t="s">
        <v>161</v>
      </c>
      <c r="N1075" s="1" t="s">
        <v>139</v>
      </c>
      <c r="O1075" s="9">
        <v>5</v>
      </c>
      <c r="P1075" s="1">
        <f>ROUNDUP(820*(1-$F$3),2)</f>
        <v>820</v>
      </c>
      <c r="Q1075" s="1" t="s">
        <v>49</v>
      </c>
      <c r="R1075" s="1" t="s">
        <v>6335</v>
      </c>
      <c r="S1075" s="1" t="s">
        <v>6336</v>
      </c>
      <c r="T1075" s="9">
        <v>22</v>
      </c>
      <c r="U1075" s="1">
        <f>ROUNDUP(672.13*(1-$F$3),2)</f>
        <v>672.13</v>
      </c>
      <c r="V1075" s="1">
        <v>271</v>
      </c>
      <c r="Y1075" s="1" t="s">
        <v>6337</v>
      </c>
      <c r="Z1075" s="1" t="s">
        <v>76</v>
      </c>
      <c r="AA1075" s="12">
        <v>45603</v>
      </c>
      <c r="AB1075" s="1" t="s">
        <v>66</v>
      </c>
      <c r="AC1075" s="1" t="s">
        <v>120</v>
      </c>
      <c r="AD1075" s="1" t="s">
        <v>343</v>
      </c>
      <c r="AE1075" s="1" t="s">
        <v>69</v>
      </c>
      <c r="AG1075" s="1">
        <v>11540930</v>
      </c>
    </row>
    <row r="1076" spans="1:33" s="1" customFormat="1" x14ac:dyDescent="0.25">
      <c r="C1076" s="1" t="s">
        <v>6338</v>
      </c>
      <c r="D1076" s="1" t="s">
        <v>6323</v>
      </c>
      <c r="E1076" s="1" t="s">
        <v>6339</v>
      </c>
      <c r="F1076" s="13" t="s">
        <v>6952</v>
      </c>
      <c r="G1076" s="1" t="s">
        <v>6282</v>
      </c>
      <c r="H1076" s="1" t="s">
        <v>160</v>
      </c>
      <c r="I1076" s="1">
        <v>352</v>
      </c>
      <c r="J1076" s="1" t="s">
        <v>6225</v>
      </c>
      <c r="K1076" s="1" t="s">
        <v>204</v>
      </c>
      <c r="M1076" s="1" t="s">
        <v>176</v>
      </c>
      <c r="N1076" s="1" t="s">
        <v>139</v>
      </c>
      <c r="O1076" s="9">
        <v>14</v>
      </c>
      <c r="P1076" s="1">
        <f>ROUNDUP(840*(1-$F$3),2)</f>
        <v>840</v>
      </c>
      <c r="Q1076" s="1" t="s">
        <v>49</v>
      </c>
      <c r="R1076" s="1" t="s">
        <v>6340</v>
      </c>
      <c r="S1076" s="1" t="s">
        <v>6341</v>
      </c>
      <c r="T1076" s="9">
        <v>22</v>
      </c>
      <c r="U1076" s="1">
        <f>ROUNDUP(688.52*(1-$F$3),2)</f>
        <v>688.52</v>
      </c>
      <c r="V1076" s="1">
        <v>276</v>
      </c>
      <c r="Y1076" s="1" t="s">
        <v>6342</v>
      </c>
      <c r="Z1076" s="1" t="s">
        <v>76</v>
      </c>
      <c r="AA1076" s="12">
        <v>45603</v>
      </c>
      <c r="AB1076" s="1" t="s">
        <v>66</v>
      </c>
      <c r="AC1076" s="1" t="s">
        <v>120</v>
      </c>
      <c r="AD1076" s="1" t="s">
        <v>343</v>
      </c>
      <c r="AE1076" s="1" t="s">
        <v>69</v>
      </c>
      <c r="AG1076" s="1">
        <v>11541250</v>
      </c>
    </row>
    <row r="1077" spans="1:33" s="1" customFormat="1" x14ac:dyDescent="0.25">
      <c r="C1077" s="1" t="s">
        <v>6343</v>
      </c>
      <c r="D1077" s="1" t="s">
        <v>6344</v>
      </c>
      <c r="E1077" s="1" t="s">
        <v>6345</v>
      </c>
      <c r="F1077" s="13" t="s">
        <v>6952</v>
      </c>
      <c r="G1077" s="1" t="s">
        <v>6346</v>
      </c>
      <c r="H1077" s="1" t="s">
        <v>61</v>
      </c>
      <c r="I1077" s="1">
        <v>608</v>
      </c>
      <c r="J1077" s="1" t="s">
        <v>6225</v>
      </c>
      <c r="K1077" s="1" t="s">
        <v>204</v>
      </c>
      <c r="M1077" s="1" t="s">
        <v>62</v>
      </c>
      <c r="N1077" s="1" t="s">
        <v>48</v>
      </c>
      <c r="O1077" s="9">
        <v>8</v>
      </c>
      <c r="P1077" s="1">
        <f>ROUNDUP(1300*(1-$F$3),2)</f>
        <v>1300</v>
      </c>
      <c r="Q1077" s="1" t="s">
        <v>49</v>
      </c>
      <c r="R1077" s="1" t="s">
        <v>6347</v>
      </c>
      <c r="S1077" s="1" t="s">
        <v>6348</v>
      </c>
      <c r="T1077" s="9">
        <v>22</v>
      </c>
      <c r="U1077" s="1">
        <f>ROUNDUP(1065.57*(1-$F$3),2)</f>
        <v>1065.57</v>
      </c>
      <c r="V1077" s="1">
        <v>636</v>
      </c>
      <c r="Y1077" s="1" t="s">
        <v>6349</v>
      </c>
      <c r="Z1077" s="1" t="s">
        <v>76</v>
      </c>
      <c r="AA1077" s="12">
        <v>45977</v>
      </c>
      <c r="AB1077" s="1" t="s">
        <v>66</v>
      </c>
      <c r="AC1077" s="1" t="s">
        <v>683</v>
      </c>
      <c r="AD1077" s="1" t="s">
        <v>3128</v>
      </c>
      <c r="AE1077" s="1" t="s">
        <v>69</v>
      </c>
      <c r="AG1077" s="1">
        <v>11930690</v>
      </c>
    </row>
    <row r="1078" spans="1:33" s="1" customFormat="1" x14ac:dyDescent="0.25">
      <c r="C1078" s="1" t="s">
        <v>6350</v>
      </c>
      <c r="D1078" s="1" t="s">
        <v>6351</v>
      </c>
      <c r="E1078" s="1" t="s">
        <v>6352</v>
      </c>
      <c r="F1078" s="13" t="s">
        <v>6952</v>
      </c>
      <c r="G1078" s="1" t="s">
        <v>6353</v>
      </c>
      <c r="H1078" s="1" t="s">
        <v>160</v>
      </c>
      <c r="I1078" s="1">
        <v>320</v>
      </c>
      <c r="J1078" s="1" t="s">
        <v>6225</v>
      </c>
      <c r="K1078" s="1" t="s">
        <v>204</v>
      </c>
      <c r="M1078" s="1" t="s">
        <v>62</v>
      </c>
      <c r="N1078" s="1" t="s">
        <v>48</v>
      </c>
      <c r="O1078" s="9">
        <v>10</v>
      </c>
      <c r="P1078" s="1">
        <f>ROUNDUP(1040*(1-$F$3),2)</f>
        <v>1040</v>
      </c>
      <c r="Q1078" s="1" t="s">
        <v>49</v>
      </c>
      <c r="R1078" s="1" t="s">
        <v>6354</v>
      </c>
      <c r="S1078" s="1" t="s">
        <v>6355</v>
      </c>
      <c r="T1078" s="9">
        <v>10</v>
      </c>
      <c r="U1078" s="1">
        <f>ROUNDUP(945.45*(1-$F$3),2)</f>
        <v>945.45</v>
      </c>
      <c r="V1078" s="1">
        <v>369</v>
      </c>
      <c r="Y1078" s="1" t="s">
        <v>6356</v>
      </c>
      <c r="Z1078" s="1" t="s">
        <v>53</v>
      </c>
      <c r="AA1078" s="12">
        <v>45603</v>
      </c>
      <c r="AB1078" s="1" t="s">
        <v>66</v>
      </c>
      <c r="AC1078" s="1" t="s">
        <v>77</v>
      </c>
      <c r="AD1078" s="1" t="s">
        <v>78</v>
      </c>
      <c r="AE1078" s="1" t="s">
        <v>69</v>
      </c>
      <c r="AG1078" s="1">
        <v>11541340</v>
      </c>
    </row>
    <row r="1079" spans="1:33" s="1" customFormat="1" x14ac:dyDescent="0.25">
      <c r="C1079" s="1" t="s">
        <v>6357</v>
      </c>
      <c r="D1079" s="1" t="s">
        <v>6351</v>
      </c>
      <c r="E1079" s="1" t="s">
        <v>6358</v>
      </c>
      <c r="F1079" s="13" t="s">
        <v>6952</v>
      </c>
      <c r="G1079" s="1" t="s">
        <v>6359</v>
      </c>
      <c r="H1079" s="1" t="s">
        <v>61</v>
      </c>
      <c r="I1079" s="1">
        <v>624</v>
      </c>
      <c r="J1079" s="1" t="s">
        <v>6225</v>
      </c>
      <c r="K1079" s="1" t="s">
        <v>204</v>
      </c>
      <c r="M1079" s="1" t="s">
        <v>62</v>
      </c>
      <c r="N1079" s="1" t="s">
        <v>48</v>
      </c>
      <c r="O1079" s="9">
        <v>8</v>
      </c>
      <c r="P1079" s="1">
        <f>ROUNDUP(1390*(1-$F$3),2)</f>
        <v>1390</v>
      </c>
      <c r="Q1079" s="1" t="s">
        <v>49</v>
      </c>
      <c r="R1079" s="1" t="s">
        <v>6360</v>
      </c>
      <c r="S1079" s="1" t="s">
        <v>6361</v>
      </c>
      <c r="T1079" s="9">
        <v>10</v>
      </c>
      <c r="U1079" s="1">
        <f>ROUNDUP(1263.64*(1-$F$3),2)</f>
        <v>1263.6400000000001</v>
      </c>
      <c r="V1079" s="1">
        <v>741</v>
      </c>
      <c r="Y1079" s="1" t="s">
        <v>6362</v>
      </c>
      <c r="Z1079" s="1" t="s">
        <v>53</v>
      </c>
      <c r="AA1079" s="12">
        <v>46075</v>
      </c>
      <c r="AB1079" s="1" t="s">
        <v>66</v>
      </c>
      <c r="AC1079" s="1" t="s">
        <v>683</v>
      </c>
      <c r="AD1079" s="1" t="s">
        <v>3128</v>
      </c>
      <c r="AE1079" s="1" t="s">
        <v>69</v>
      </c>
      <c r="AG1079" s="1">
        <v>12015850</v>
      </c>
    </row>
    <row r="1080" spans="1:33" s="11" customFormat="1" x14ac:dyDescent="0.25">
      <c r="A1080" s="11" t="s">
        <v>6953</v>
      </c>
      <c r="C1080" s="11" t="s">
        <v>6363</v>
      </c>
      <c r="D1080" s="11" t="s">
        <v>6351</v>
      </c>
      <c r="E1080" s="11" t="s">
        <v>6364</v>
      </c>
      <c r="F1080" s="14" t="s">
        <v>6952</v>
      </c>
      <c r="G1080" s="11" t="s">
        <v>6365</v>
      </c>
      <c r="H1080" s="11" t="s">
        <v>61</v>
      </c>
      <c r="I1080" s="11">
        <v>512</v>
      </c>
      <c r="J1080" s="11" t="s">
        <v>6225</v>
      </c>
      <c r="K1080" s="11" t="s">
        <v>204</v>
      </c>
      <c r="M1080" s="11" t="s">
        <v>62</v>
      </c>
      <c r="N1080" s="11" t="s">
        <v>48</v>
      </c>
      <c r="O1080" s="23">
        <v>10</v>
      </c>
      <c r="P1080" s="11">
        <f>ROUNDUP(1100*(1-$F$3),2)</f>
        <v>1100</v>
      </c>
      <c r="Q1080" s="11" t="s">
        <v>49</v>
      </c>
      <c r="R1080" s="11" t="s">
        <v>6366</v>
      </c>
      <c r="S1080" s="11" t="s">
        <v>6367</v>
      </c>
      <c r="T1080" s="23">
        <v>22</v>
      </c>
      <c r="U1080" s="11">
        <f>ROUNDUP(901.64*(1-$F$3),2)</f>
        <v>901.64</v>
      </c>
      <c r="V1080" s="11">
        <v>594</v>
      </c>
      <c r="Y1080" s="11" t="s">
        <v>6368</v>
      </c>
      <c r="Z1080" s="11" t="s">
        <v>76</v>
      </c>
      <c r="AA1080" s="15">
        <v>46085</v>
      </c>
      <c r="AB1080" s="11" t="s">
        <v>66</v>
      </c>
      <c r="AC1080" s="11" t="s">
        <v>143</v>
      </c>
      <c r="AD1080" s="11" t="s">
        <v>144</v>
      </c>
      <c r="AE1080" s="11" t="s">
        <v>69</v>
      </c>
      <c r="AG1080" s="11">
        <v>12039020</v>
      </c>
    </row>
    <row r="1081" spans="1:33" s="1" customFormat="1" x14ac:dyDescent="0.25">
      <c r="C1081" s="1" t="s">
        <v>6369</v>
      </c>
      <c r="D1081" s="1" t="s">
        <v>6351</v>
      </c>
      <c r="E1081" s="1" t="s">
        <v>6370</v>
      </c>
      <c r="F1081" s="13" t="s">
        <v>6952</v>
      </c>
      <c r="G1081" s="1" t="s">
        <v>6371</v>
      </c>
      <c r="H1081" s="1" t="s">
        <v>160</v>
      </c>
      <c r="I1081" s="1">
        <v>416</v>
      </c>
      <c r="J1081" s="1" t="s">
        <v>6225</v>
      </c>
      <c r="K1081" s="1" t="s">
        <v>204</v>
      </c>
      <c r="M1081" s="1" t="s">
        <v>47</v>
      </c>
      <c r="N1081" s="1" t="s">
        <v>48</v>
      </c>
      <c r="O1081" s="9">
        <v>6</v>
      </c>
      <c r="P1081" s="1">
        <f>ROUNDUP(1160*(1-$F$3),2)</f>
        <v>1160</v>
      </c>
      <c r="Q1081" s="1" t="s">
        <v>49</v>
      </c>
      <c r="R1081" s="1" t="s">
        <v>6372</v>
      </c>
      <c r="S1081" s="1" t="s">
        <v>6373</v>
      </c>
      <c r="T1081" s="9">
        <v>22</v>
      </c>
      <c r="U1081" s="1">
        <f>ROUNDUP(950.82*(1-$F$3),2)</f>
        <v>950.82</v>
      </c>
      <c r="V1081" s="1">
        <v>446</v>
      </c>
      <c r="Y1081" s="1" t="s">
        <v>6374</v>
      </c>
      <c r="Z1081" s="1" t="s">
        <v>76</v>
      </c>
      <c r="AA1081" s="12">
        <v>45826</v>
      </c>
      <c r="AB1081" s="1" t="s">
        <v>66</v>
      </c>
      <c r="AC1081" s="1" t="s">
        <v>143</v>
      </c>
      <c r="AD1081" s="1" t="s">
        <v>144</v>
      </c>
      <c r="AE1081" s="1" t="s">
        <v>69</v>
      </c>
      <c r="AG1081" s="1">
        <v>11739090</v>
      </c>
    </row>
    <row r="1082" spans="1:33" s="1" customFormat="1" x14ac:dyDescent="0.25">
      <c r="C1082" s="1" t="s">
        <v>6375</v>
      </c>
      <c r="D1082" s="1" t="s">
        <v>6351</v>
      </c>
      <c r="E1082" s="1" t="s">
        <v>6376</v>
      </c>
      <c r="F1082" s="13" t="s">
        <v>6952</v>
      </c>
      <c r="G1082" s="1" t="s">
        <v>6377</v>
      </c>
      <c r="H1082" s="1" t="s">
        <v>61</v>
      </c>
      <c r="I1082" s="1">
        <v>1152</v>
      </c>
      <c r="J1082" s="1" t="s">
        <v>6225</v>
      </c>
      <c r="K1082" s="1" t="s">
        <v>204</v>
      </c>
      <c r="M1082" s="1" t="s">
        <v>47</v>
      </c>
      <c r="N1082" s="1" t="s">
        <v>48</v>
      </c>
      <c r="O1082" s="9"/>
      <c r="P1082" s="1">
        <f>ROUNDUP(1032*(1-$F$3),2)</f>
        <v>1032</v>
      </c>
      <c r="Q1082" s="1" t="s">
        <v>49</v>
      </c>
      <c r="R1082" s="1" t="s">
        <v>6378</v>
      </c>
      <c r="S1082" s="1" t="s">
        <v>6379</v>
      </c>
      <c r="T1082" s="9">
        <v>22</v>
      </c>
      <c r="U1082" s="1">
        <f>ROUNDUP(845.9*(1-$F$3),2)</f>
        <v>845.9</v>
      </c>
      <c r="V1082" s="1">
        <v>1166</v>
      </c>
      <c r="Y1082" s="1" t="s">
        <v>6380</v>
      </c>
      <c r="Z1082" s="1" t="s">
        <v>53</v>
      </c>
      <c r="AA1082" s="12">
        <v>45845</v>
      </c>
      <c r="AB1082" s="1" t="s">
        <v>66</v>
      </c>
      <c r="AC1082" s="1" t="s">
        <v>143</v>
      </c>
      <c r="AD1082" s="1" t="s">
        <v>144</v>
      </c>
      <c r="AE1082" s="1" t="s">
        <v>69</v>
      </c>
      <c r="AG1082" s="1">
        <v>11813170</v>
      </c>
    </row>
    <row r="1083" spans="1:33" s="1" customFormat="1" x14ac:dyDescent="0.25">
      <c r="C1083" s="1" t="s">
        <v>6381</v>
      </c>
      <c r="D1083" s="1" t="s">
        <v>6351</v>
      </c>
      <c r="E1083" s="1" t="s">
        <v>6382</v>
      </c>
      <c r="F1083" s="13" t="s">
        <v>6952</v>
      </c>
      <c r="G1083" s="1" t="s">
        <v>6377</v>
      </c>
      <c r="H1083" s="1" t="s">
        <v>61</v>
      </c>
      <c r="I1083" s="1">
        <v>672</v>
      </c>
      <c r="J1083" s="1" t="s">
        <v>6225</v>
      </c>
      <c r="K1083" s="1" t="s">
        <v>204</v>
      </c>
      <c r="M1083" s="1" t="s">
        <v>47</v>
      </c>
      <c r="N1083" s="1" t="s">
        <v>48</v>
      </c>
      <c r="O1083" s="9">
        <v>8</v>
      </c>
      <c r="P1083" s="1">
        <f>ROUNDUP(1350*(1-$F$3),2)</f>
        <v>1350</v>
      </c>
      <c r="Q1083" s="1" t="s">
        <v>49</v>
      </c>
      <c r="R1083" s="1" t="s">
        <v>6383</v>
      </c>
      <c r="S1083" s="1" t="s">
        <v>6384</v>
      </c>
      <c r="T1083" s="9">
        <v>10</v>
      </c>
      <c r="U1083" s="1">
        <f>ROUNDUP(1227.27*(1-$F$3),2)</f>
        <v>1227.27</v>
      </c>
      <c r="V1083" s="1">
        <v>696</v>
      </c>
      <c r="Y1083" s="1" t="s">
        <v>6385</v>
      </c>
      <c r="Z1083" s="1" t="s">
        <v>53</v>
      </c>
      <c r="AA1083" s="12">
        <v>45807</v>
      </c>
      <c r="AB1083" s="1" t="s">
        <v>66</v>
      </c>
      <c r="AC1083" s="1" t="s">
        <v>683</v>
      </c>
      <c r="AD1083" s="1" t="s">
        <v>3128</v>
      </c>
      <c r="AE1083" s="1" t="s">
        <v>69</v>
      </c>
      <c r="AG1083" s="1">
        <v>11751170</v>
      </c>
    </row>
    <row r="1084" spans="1:33" s="1" customFormat="1" x14ac:dyDescent="0.25">
      <c r="C1084" s="1" t="s">
        <v>6386</v>
      </c>
      <c r="D1084" s="1" t="s">
        <v>6387</v>
      </c>
      <c r="E1084" s="1" t="s">
        <v>6388</v>
      </c>
      <c r="F1084" s="13" t="s">
        <v>6952</v>
      </c>
      <c r="G1084" s="1" t="s">
        <v>6389</v>
      </c>
      <c r="H1084" s="1" t="s">
        <v>160</v>
      </c>
      <c r="I1084" s="1">
        <v>576</v>
      </c>
      <c r="J1084" s="1" t="s">
        <v>6225</v>
      </c>
      <c r="K1084" s="1" t="s">
        <v>204</v>
      </c>
      <c r="M1084" s="1" t="s">
        <v>47</v>
      </c>
      <c r="N1084" s="1" t="s">
        <v>48</v>
      </c>
      <c r="O1084" s="9">
        <v>10</v>
      </c>
      <c r="P1084" s="1">
        <f>ROUNDUP(1210*(1-$F$3),2)</f>
        <v>1210</v>
      </c>
      <c r="Q1084" s="1" t="s">
        <v>49</v>
      </c>
      <c r="R1084" s="1" t="s">
        <v>6390</v>
      </c>
      <c r="S1084" s="1" t="s">
        <v>6391</v>
      </c>
      <c r="T1084" s="9">
        <v>22</v>
      </c>
      <c r="U1084" s="1">
        <f>ROUNDUP(991.8*(1-$F$3),2)</f>
        <v>991.8</v>
      </c>
      <c r="V1084" s="1">
        <v>573</v>
      </c>
      <c r="Y1084" s="1" t="s">
        <v>6392</v>
      </c>
      <c r="Z1084" s="1" t="s">
        <v>76</v>
      </c>
      <c r="AA1084" s="12">
        <v>45733</v>
      </c>
      <c r="AB1084" s="1" t="s">
        <v>66</v>
      </c>
      <c r="AC1084" s="1" t="s">
        <v>67</v>
      </c>
      <c r="AD1084" s="1" t="s">
        <v>165</v>
      </c>
      <c r="AE1084" s="1" t="s">
        <v>69</v>
      </c>
      <c r="AG1084" s="1">
        <v>11625970</v>
      </c>
    </row>
    <row r="1085" spans="1:33" s="1" customFormat="1" x14ac:dyDescent="0.25">
      <c r="C1085" s="1" t="s">
        <v>6393</v>
      </c>
      <c r="D1085" s="1" t="s">
        <v>6394</v>
      </c>
      <c r="E1085" s="1" t="s">
        <v>6395</v>
      </c>
      <c r="F1085" s="13" t="s">
        <v>6952</v>
      </c>
      <c r="G1085" s="1" t="s">
        <v>6396</v>
      </c>
      <c r="H1085" s="1" t="s">
        <v>61</v>
      </c>
      <c r="I1085" s="1">
        <v>512</v>
      </c>
      <c r="J1085" s="1" t="s">
        <v>6225</v>
      </c>
      <c r="K1085" s="1" t="s">
        <v>204</v>
      </c>
      <c r="M1085" s="1" t="s">
        <v>47</v>
      </c>
      <c r="N1085" s="1" t="s">
        <v>48</v>
      </c>
      <c r="O1085" s="9">
        <v>6</v>
      </c>
      <c r="P1085" s="1">
        <f>ROUNDUP(1490*(1-$F$3),2)</f>
        <v>1490</v>
      </c>
      <c r="Q1085" s="1" t="s">
        <v>49</v>
      </c>
      <c r="R1085" s="1" t="s">
        <v>6397</v>
      </c>
      <c r="S1085" s="1" t="s">
        <v>6398</v>
      </c>
      <c r="T1085" s="9">
        <v>10</v>
      </c>
      <c r="U1085" s="1">
        <f>ROUNDUP(1354.55*(1-$F$3),2)</f>
        <v>1354.55</v>
      </c>
      <c r="V1085" s="1">
        <v>549</v>
      </c>
      <c r="Y1085" s="1" t="s">
        <v>6399</v>
      </c>
      <c r="Z1085" s="1" t="s">
        <v>53</v>
      </c>
      <c r="AA1085" s="12">
        <v>45603</v>
      </c>
      <c r="AB1085" s="1" t="s">
        <v>66</v>
      </c>
      <c r="AC1085" s="1" t="s">
        <v>77</v>
      </c>
      <c r="AD1085" s="1" t="s">
        <v>78</v>
      </c>
      <c r="AE1085" s="1" t="s">
        <v>69</v>
      </c>
      <c r="AG1085" s="1">
        <v>11541100</v>
      </c>
    </row>
    <row r="1086" spans="1:33" s="1" customFormat="1" x14ac:dyDescent="0.25">
      <c r="C1086" s="1" t="s">
        <v>6400</v>
      </c>
      <c r="D1086" s="1" t="s">
        <v>6394</v>
      </c>
      <c r="E1086" s="1" t="s">
        <v>6401</v>
      </c>
      <c r="F1086" s="13" t="s">
        <v>6952</v>
      </c>
      <c r="G1086" s="1" t="s">
        <v>6402</v>
      </c>
      <c r="H1086" s="1" t="s">
        <v>61</v>
      </c>
      <c r="I1086" s="1">
        <v>640</v>
      </c>
      <c r="J1086" s="1" t="s">
        <v>6225</v>
      </c>
      <c r="K1086" s="1" t="s">
        <v>204</v>
      </c>
      <c r="M1086" s="1" t="s">
        <v>47</v>
      </c>
      <c r="N1086" s="1" t="s">
        <v>139</v>
      </c>
      <c r="O1086" s="9">
        <v>6</v>
      </c>
      <c r="P1086" s="1">
        <f>ROUNDUP(1150*(1-$F$3),2)</f>
        <v>1150</v>
      </c>
      <c r="Q1086" s="1" t="s">
        <v>49</v>
      </c>
      <c r="R1086" s="1" t="s">
        <v>6403</v>
      </c>
      <c r="S1086" s="1" t="s">
        <v>6404</v>
      </c>
      <c r="T1086" s="9">
        <v>22</v>
      </c>
      <c r="U1086" s="1">
        <f>ROUNDUP(942.62*(1-$F$3),2)</f>
        <v>942.62</v>
      </c>
      <c r="V1086" s="1">
        <v>563</v>
      </c>
      <c r="Y1086" s="1" t="s">
        <v>6405</v>
      </c>
      <c r="Z1086" s="1" t="s">
        <v>76</v>
      </c>
      <c r="AA1086" s="12">
        <v>45616</v>
      </c>
      <c r="AB1086" s="1" t="s">
        <v>66</v>
      </c>
      <c r="AC1086" s="1" t="s">
        <v>143</v>
      </c>
      <c r="AD1086" s="1" t="s">
        <v>144</v>
      </c>
      <c r="AE1086" s="1" t="s">
        <v>69</v>
      </c>
      <c r="AG1086" s="1">
        <v>11571070</v>
      </c>
    </row>
    <row r="1087" spans="1:33" s="1" customFormat="1" x14ac:dyDescent="0.25">
      <c r="C1087" s="1" t="s">
        <v>6406</v>
      </c>
      <c r="D1087" s="1" t="s">
        <v>6394</v>
      </c>
      <c r="E1087" s="1" t="s">
        <v>6407</v>
      </c>
      <c r="F1087" s="13" t="s">
        <v>6952</v>
      </c>
      <c r="G1087" s="1" t="s">
        <v>6408</v>
      </c>
      <c r="H1087" s="1" t="s">
        <v>61</v>
      </c>
      <c r="I1087" s="1">
        <v>432</v>
      </c>
      <c r="J1087" s="1" t="s">
        <v>6225</v>
      </c>
      <c r="K1087" s="1" t="s">
        <v>204</v>
      </c>
      <c r="M1087" s="1" t="s">
        <v>47</v>
      </c>
      <c r="N1087" s="1" t="s">
        <v>139</v>
      </c>
      <c r="O1087" s="9">
        <v>12</v>
      </c>
      <c r="P1087" s="1">
        <f>ROUNDUP(730*(1-$F$3),2)</f>
        <v>730</v>
      </c>
      <c r="Q1087" s="1" t="s">
        <v>49</v>
      </c>
      <c r="R1087" s="1" t="s">
        <v>6409</v>
      </c>
      <c r="S1087" s="1" t="s">
        <v>6410</v>
      </c>
      <c r="T1087" s="9">
        <v>10</v>
      </c>
      <c r="U1087" s="1">
        <f>ROUNDUP(663.64*(1-$F$3),2)</f>
        <v>663.64</v>
      </c>
      <c r="V1087" s="1">
        <v>391</v>
      </c>
      <c r="Y1087" s="1" t="s">
        <v>6411</v>
      </c>
      <c r="Z1087" s="1" t="s">
        <v>53</v>
      </c>
      <c r="AA1087" s="12">
        <v>45855</v>
      </c>
      <c r="AB1087" s="1" t="s">
        <v>66</v>
      </c>
      <c r="AC1087" s="1" t="s">
        <v>143</v>
      </c>
      <c r="AD1087" s="1" t="s">
        <v>144</v>
      </c>
      <c r="AE1087" s="1" t="s">
        <v>69</v>
      </c>
      <c r="AG1087" s="1">
        <v>11780750</v>
      </c>
    </row>
    <row r="1088" spans="1:33" s="1" customFormat="1" x14ac:dyDescent="0.25">
      <c r="C1088" s="1" t="s">
        <v>6412</v>
      </c>
      <c r="D1088" s="1" t="s">
        <v>6394</v>
      </c>
      <c r="E1088" s="1" t="s">
        <v>6413</v>
      </c>
      <c r="F1088" s="13" t="s">
        <v>6952</v>
      </c>
      <c r="G1088" s="1" t="s">
        <v>6414</v>
      </c>
      <c r="H1088" s="1" t="s">
        <v>190</v>
      </c>
      <c r="I1088" s="1">
        <v>288</v>
      </c>
      <c r="J1088" s="1" t="s">
        <v>6225</v>
      </c>
      <c r="K1088" s="1" t="s">
        <v>204</v>
      </c>
      <c r="M1088" s="1" t="s">
        <v>176</v>
      </c>
      <c r="N1088" s="1" t="s">
        <v>139</v>
      </c>
      <c r="O1088" s="9">
        <v>20</v>
      </c>
      <c r="P1088" s="1">
        <f>ROUNDUP(920*(1-$F$3),2)</f>
        <v>920</v>
      </c>
      <c r="Q1088" s="1" t="s">
        <v>49</v>
      </c>
      <c r="R1088" s="1" t="s">
        <v>6415</v>
      </c>
      <c r="S1088" s="1" t="s">
        <v>6416</v>
      </c>
      <c r="T1088" s="9">
        <v>10</v>
      </c>
      <c r="U1088" s="1">
        <f>ROUNDUP(836.36*(1-$F$3),2)</f>
        <v>836.36</v>
      </c>
      <c r="V1088" s="1">
        <v>197</v>
      </c>
      <c r="Y1088" s="1" t="s">
        <v>6417</v>
      </c>
      <c r="Z1088" s="1" t="s">
        <v>53</v>
      </c>
      <c r="AA1088" s="12">
        <v>45603</v>
      </c>
      <c r="AB1088" s="1" t="s">
        <v>66</v>
      </c>
      <c r="AC1088" s="1" t="s">
        <v>143</v>
      </c>
      <c r="AD1088" s="1" t="s">
        <v>847</v>
      </c>
      <c r="AE1088" s="1" t="s">
        <v>69</v>
      </c>
      <c r="AG1088" s="1">
        <v>11541330</v>
      </c>
    </row>
    <row r="1089" spans="1:33" s="1" customFormat="1" x14ac:dyDescent="0.25">
      <c r="C1089" s="1" t="s">
        <v>6418</v>
      </c>
      <c r="D1089" s="1" t="s">
        <v>6225</v>
      </c>
      <c r="E1089" s="1" t="s">
        <v>6419</v>
      </c>
      <c r="F1089" s="13" t="s">
        <v>6952</v>
      </c>
      <c r="G1089" s="1" t="s">
        <v>6224</v>
      </c>
      <c r="H1089" s="1" t="s">
        <v>160</v>
      </c>
      <c r="I1089" s="1">
        <v>1232</v>
      </c>
      <c r="J1089" s="1" t="s">
        <v>6225</v>
      </c>
      <c r="K1089" s="1" t="s">
        <v>204</v>
      </c>
      <c r="M1089" s="1" t="s">
        <v>161</v>
      </c>
      <c r="N1089" s="1" t="s">
        <v>139</v>
      </c>
      <c r="O1089" s="9"/>
      <c r="P1089" s="1">
        <f>ROUNDUP(3990*(1-$F$3),2)</f>
        <v>3990</v>
      </c>
      <c r="Q1089" s="1" t="s">
        <v>49</v>
      </c>
      <c r="R1089" s="1" t="s">
        <v>6420</v>
      </c>
      <c r="S1089" s="1" t="s">
        <v>6421</v>
      </c>
      <c r="T1089" s="9">
        <v>22</v>
      </c>
      <c r="U1089" s="1">
        <f>ROUNDUP(3270.49*(1-$F$3),2)</f>
        <v>3270.49</v>
      </c>
      <c r="V1089" s="1">
        <v>1029</v>
      </c>
      <c r="Y1089" s="1" t="s">
        <v>6422</v>
      </c>
      <c r="Z1089" s="1" t="s">
        <v>76</v>
      </c>
      <c r="AA1089" s="12">
        <v>45603</v>
      </c>
      <c r="AB1089" s="1" t="s">
        <v>66</v>
      </c>
      <c r="AC1089" s="1" t="s">
        <v>143</v>
      </c>
      <c r="AD1089" s="1" t="s">
        <v>4104</v>
      </c>
      <c r="AE1089" s="1" t="s">
        <v>69</v>
      </c>
      <c r="AG1089" s="1">
        <v>11541300</v>
      </c>
    </row>
    <row r="1090" spans="1:33" s="1" customFormat="1" x14ac:dyDescent="0.25">
      <c r="C1090" s="1" t="s">
        <v>6423</v>
      </c>
      <c r="D1090" s="1" t="s">
        <v>6424</v>
      </c>
      <c r="E1090" s="1" t="s">
        <v>6425</v>
      </c>
      <c r="F1090" s="13" t="s">
        <v>6952</v>
      </c>
      <c r="G1090" s="1" t="s">
        <v>6365</v>
      </c>
      <c r="H1090" s="1" t="s">
        <v>61</v>
      </c>
      <c r="I1090" s="1">
        <v>880</v>
      </c>
      <c r="J1090" s="1" t="s">
        <v>6225</v>
      </c>
      <c r="K1090" s="1" t="s">
        <v>204</v>
      </c>
      <c r="M1090" s="1" t="s">
        <v>47</v>
      </c>
      <c r="N1090" s="1" t="s">
        <v>48</v>
      </c>
      <c r="O1090" s="9">
        <v>6</v>
      </c>
      <c r="P1090" s="1">
        <f>ROUNDUP(1290*(1-$F$3),2)</f>
        <v>1290</v>
      </c>
      <c r="Q1090" s="1" t="s">
        <v>49</v>
      </c>
      <c r="R1090" s="1" t="s">
        <v>6426</v>
      </c>
      <c r="S1090" s="1" t="s">
        <v>6427</v>
      </c>
      <c r="T1090" s="9">
        <v>22</v>
      </c>
      <c r="U1090" s="1">
        <f>ROUNDUP(1057.38*(1-$F$3),2)</f>
        <v>1057.3800000000001</v>
      </c>
      <c r="V1090" s="1">
        <v>907</v>
      </c>
      <c r="Y1090" s="1" t="s">
        <v>6428</v>
      </c>
      <c r="Z1090" s="1" t="s">
        <v>76</v>
      </c>
      <c r="AA1090" s="12">
        <v>45879</v>
      </c>
      <c r="AB1090" s="1" t="s">
        <v>66</v>
      </c>
      <c r="AC1090" s="1" t="s">
        <v>683</v>
      </c>
      <c r="AD1090" s="1" t="s">
        <v>3128</v>
      </c>
      <c r="AE1090" s="1" t="s">
        <v>69</v>
      </c>
      <c r="AG1090" s="1">
        <v>11831250</v>
      </c>
    </row>
    <row r="1091" spans="1:33" s="1" customFormat="1" x14ac:dyDescent="0.25">
      <c r="C1091" s="1" t="s">
        <v>6429</v>
      </c>
      <c r="D1091" s="1" t="s">
        <v>6430</v>
      </c>
      <c r="E1091" s="1" t="s">
        <v>6431</v>
      </c>
      <c r="F1091" s="13" t="s">
        <v>6952</v>
      </c>
      <c r="G1091" s="1" t="s">
        <v>6264</v>
      </c>
      <c r="H1091" s="1" t="s">
        <v>160</v>
      </c>
      <c r="I1091" s="1">
        <v>432</v>
      </c>
      <c r="J1091" s="1" t="s">
        <v>6225</v>
      </c>
      <c r="K1091" s="1" t="s">
        <v>6225</v>
      </c>
      <c r="M1091" s="1" t="s">
        <v>47</v>
      </c>
      <c r="N1091" s="1" t="s">
        <v>139</v>
      </c>
      <c r="O1091" s="9">
        <v>5</v>
      </c>
      <c r="P1091" s="1">
        <f>ROUNDUP(680*(1-$F$3),2)</f>
        <v>680</v>
      </c>
      <c r="Q1091" s="1" t="s">
        <v>49</v>
      </c>
      <c r="R1091" s="1" t="s">
        <v>6432</v>
      </c>
      <c r="S1091" s="1" t="s">
        <v>6433</v>
      </c>
      <c r="T1091" s="9">
        <v>10</v>
      </c>
      <c r="U1091" s="1">
        <f>ROUNDUP(618.18*(1-$F$3),2)</f>
        <v>618.17999999999995</v>
      </c>
      <c r="V1091" s="1">
        <v>387</v>
      </c>
      <c r="Y1091" s="1" t="s">
        <v>6434</v>
      </c>
      <c r="Z1091" s="1" t="s">
        <v>53</v>
      </c>
      <c r="AA1091" s="12">
        <v>45772</v>
      </c>
      <c r="AB1091" s="1" t="s">
        <v>66</v>
      </c>
      <c r="AC1091" s="1" t="s">
        <v>120</v>
      </c>
      <c r="AD1091" s="1" t="s">
        <v>121</v>
      </c>
      <c r="AE1091" s="1" t="s">
        <v>69</v>
      </c>
      <c r="AG1091" s="1">
        <v>11719170</v>
      </c>
    </row>
    <row r="1092" spans="1:33" s="1" customFormat="1" x14ac:dyDescent="0.25">
      <c r="C1092" s="1" t="s">
        <v>6435</v>
      </c>
      <c r="D1092" s="1" t="s">
        <v>6430</v>
      </c>
      <c r="E1092" s="1" t="s">
        <v>6436</v>
      </c>
      <c r="F1092" s="13" t="s">
        <v>6952</v>
      </c>
      <c r="G1092" s="1" t="s">
        <v>429</v>
      </c>
      <c r="H1092" s="1" t="s">
        <v>190</v>
      </c>
      <c r="I1092" s="1">
        <v>416</v>
      </c>
      <c r="J1092" s="1" t="s">
        <v>6225</v>
      </c>
      <c r="K1092" s="1" t="s">
        <v>204</v>
      </c>
      <c r="M1092" s="1" t="s">
        <v>62</v>
      </c>
      <c r="N1092" s="1" t="s">
        <v>139</v>
      </c>
      <c r="O1092" s="9">
        <v>6</v>
      </c>
      <c r="P1092" s="1">
        <f>ROUNDUP(1040*(1-$F$3),2)</f>
        <v>1040</v>
      </c>
      <c r="Q1092" s="1" t="s">
        <v>49</v>
      </c>
      <c r="R1092" s="1" t="s">
        <v>6437</v>
      </c>
      <c r="S1092" s="1" t="s">
        <v>6438</v>
      </c>
      <c r="T1092" s="9">
        <v>10</v>
      </c>
      <c r="U1092" s="1">
        <f>ROUNDUP(945.45*(1-$F$3),2)</f>
        <v>945.45</v>
      </c>
      <c r="V1092" s="1">
        <v>247</v>
      </c>
      <c r="Y1092" s="1" t="s">
        <v>6439</v>
      </c>
      <c r="Z1092" s="1" t="s">
        <v>53</v>
      </c>
      <c r="AA1092" s="12">
        <v>45603</v>
      </c>
      <c r="AB1092" s="1" t="s">
        <v>66</v>
      </c>
      <c r="AC1092" s="1" t="s">
        <v>120</v>
      </c>
      <c r="AD1092" s="1" t="s">
        <v>121</v>
      </c>
      <c r="AE1092" s="1" t="s">
        <v>69</v>
      </c>
      <c r="AG1092" s="1">
        <v>11541440</v>
      </c>
    </row>
    <row r="1093" spans="1:33" s="1" customFormat="1" x14ac:dyDescent="0.25">
      <c r="C1093" s="1" t="s">
        <v>6440</v>
      </c>
      <c r="D1093" s="1" t="s">
        <v>6430</v>
      </c>
      <c r="E1093" s="1" t="s">
        <v>6441</v>
      </c>
      <c r="F1093" s="13" t="s">
        <v>6952</v>
      </c>
      <c r="G1093" s="1" t="s">
        <v>429</v>
      </c>
      <c r="H1093" s="1" t="s">
        <v>190</v>
      </c>
      <c r="I1093" s="1">
        <v>480</v>
      </c>
      <c r="J1093" s="1" t="s">
        <v>6225</v>
      </c>
      <c r="K1093" s="1" t="s">
        <v>204</v>
      </c>
      <c r="M1093" s="1" t="s">
        <v>62</v>
      </c>
      <c r="N1093" s="1" t="s">
        <v>139</v>
      </c>
      <c r="O1093" s="9">
        <v>12</v>
      </c>
      <c r="P1093" s="1">
        <f>ROUNDUP(760*(1-$F$3),2)</f>
        <v>760</v>
      </c>
      <c r="Q1093" s="1" t="s">
        <v>49</v>
      </c>
      <c r="R1093" s="1" t="s">
        <v>6442</v>
      </c>
      <c r="S1093" s="1" t="s">
        <v>6443</v>
      </c>
      <c r="T1093" s="9">
        <v>22</v>
      </c>
      <c r="U1093" s="1">
        <f>ROUNDUP(622.95*(1-$F$3),2)</f>
        <v>622.95000000000005</v>
      </c>
      <c r="V1093" s="1">
        <v>297</v>
      </c>
      <c r="Y1093" s="1" t="s">
        <v>6444</v>
      </c>
      <c r="Z1093" s="1" t="s">
        <v>76</v>
      </c>
      <c r="AA1093" s="12">
        <v>46017</v>
      </c>
      <c r="AB1093" s="1" t="s">
        <v>66</v>
      </c>
      <c r="AC1093" s="1" t="s">
        <v>120</v>
      </c>
      <c r="AD1093" s="1" t="s">
        <v>121</v>
      </c>
      <c r="AE1093" s="1" t="s">
        <v>69</v>
      </c>
      <c r="AG1093" s="1">
        <v>11964360</v>
      </c>
    </row>
    <row r="1094" spans="1:33" s="1" customFormat="1" x14ac:dyDescent="0.25">
      <c r="C1094" s="1" t="s">
        <v>6445</v>
      </c>
      <c r="D1094" s="1" t="s">
        <v>6430</v>
      </c>
      <c r="E1094" s="1" t="s">
        <v>6446</v>
      </c>
      <c r="F1094" s="13" t="s">
        <v>6952</v>
      </c>
      <c r="G1094" s="1" t="s">
        <v>429</v>
      </c>
      <c r="H1094" s="1" t="s">
        <v>190</v>
      </c>
      <c r="I1094" s="1">
        <v>480</v>
      </c>
      <c r="J1094" s="1" t="s">
        <v>6225</v>
      </c>
      <c r="K1094" s="1" t="s">
        <v>204</v>
      </c>
      <c r="M1094" s="1" t="s">
        <v>47</v>
      </c>
      <c r="N1094" s="1" t="s">
        <v>139</v>
      </c>
      <c r="O1094" s="9">
        <v>10</v>
      </c>
      <c r="P1094" s="1">
        <f>ROUNDUP(720*(1-$F$3),2)</f>
        <v>720</v>
      </c>
      <c r="Q1094" s="1" t="s">
        <v>49</v>
      </c>
      <c r="R1094" s="1" t="s">
        <v>6447</v>
      </c>
      <c r="S1094" s="1" t="s">
        <v>6448</v>
      </c>
      <c r="T1094" s="9">
        <v>10</v>
      </c>
      <c r="U1094" s="1">
        <f>ROUNDUP(654.55*(1-$F$3),2)</f>
        <v>654.54999999999995</v>
      </c>
      <c r="V1094" s="1">
        <v>311</v>
      </c>
      <c r="Y1094" s="1" t="s">
        <v>6449</v>
      </c>
      <c r="Z1094" s="1" t="s">
        <v>53</v>
      </c>
      <c r="AA1094" s="12">
        <v>45847</v>
      </c>
      <c r="AB1094" s="1" t="s">
        <v>66</v>
      </c>
      <c r="AC1094" s="1" t="s">
        <v>120</v>
      </c>
      <c r="AD1094" s="1" t="s">
        <v>121</v>
      </c>
      <c r="AE1094" s="1" t="s">
        <v>69</v>
      </c>
      <c r="AG1094" s="1">
        <v>11779550</v>
      </c>
    </row>
    <row r="1095" spans="1:33" s="1" customFormat="1" x14ac:dyDescent="0.25">
      <c r="C1095" s="1" t="s">
        <v>6450</v>
      </c>
      <c r="D1095" s="1" t="s">
        <v>6430</v>
      </c>
      <c r="E1095" s="1" t="s">
        <v>6451</v>
      </c>
      <c r="F1095" s="13" t="s">
        <v>6952</v>
      </c>
      <c r="G1095" s="1" t="s">
        <v>6264</v>
      </c>
      <c r="H1095" s="1" t="s">
        <v>160</v>
      </c>
      <c r="I1095" s="1">
        <v>432</v>
      </c>
      <c r="J1095" s="1" t="s">
        <v>6225</v>
      </c>
      <c r="K1095" s="1" t="s">
        <v>204</v>
      </c>
      <c r="M1095" s="1" t="s">
        <v>62</v>
      </c>
      <c r="N1095" s="1" t="s">
        <v>139</v>
      </c>
      <c r="O1095" s="9">
        <v>10</v>
      </c>
      <c r="P1095" s="1">
        <f>ROUNDUP(1100*(1-$F$3),2)</f>
        <v>1100</v>
      </c>
      <c r="Q1095" s="1" t="s">
        <v>49</v>
      </c>
      <c r="R1095" s="1" t="s">
        <v>6452</v>
      </c>
      <c r="S1095" s="1" t="s">
        <v>6453</v>
      </c>
      <c r="T1095" s="9">
        <v>10</v>
      </c>
      <c r="U1095" s="1">
        <f>ROUNDUP(1000*(1-$F$3),2)</f>
        <v>1000</v>
      </c>
      <c r="V1095" s="1">
        <v>375</v>
      </c>
      <c r="Y1095" s="1" t="s">
        <v>6454</v>
      </c>
      <c r="Z1095" s="1" t="s">
        <v>53</v>
      </c>
      <c r="AA1095" s="12">
        <v>45603</v>
      </c>
      <c r="AB1095" s="1" t="s">
        <v>66</v>
      </c>
      <c r="AC1095" s="1" t="s">
        <v>120</v>
      </c>
      <c r="AD1095" s="1" t="s">
        <v>121</v>
      </c>
      <c r="AE1095" s="1" t="s">
        <v>69</v>
      </c>
      <c r="AG1095" s="1">
        <v>11541490</v>
      </c>
    </row>
    <row r="1096" spans="1:33" s="1" customFormat="1" x14ac:dyDescent="0.25">
      <c r="C1096" s="1" t="s">
        <v>6455</v>
      </c>
      <c r="D1096" s="1" t="s">
        <v>6430</v>
      </c>
      <c r="E1096" s="1" t="s">
        <v>6456</v>
      </c>
      <c r="F1096" s="13" t="s">
        <v>6952</v>
      </c>
      <c r="G1096" s="1" t="s">
        <v>6457</v>
      </c>
      <c r="H1096" s="1" t="s">
        <v>160</v>
      </c>
      <c r="I1096" s="1">
        <v>256</v>
      </c>
      <c r="J1096" s="1" t="s">
        <v>6225</v>
      </c>
      <c r="K1096" s="1" t="s">
        <v>204</v>
      </c>
      <c r="M1096" s="1" t="s">
        <v>47</v>
      </c>
      <c r="N1096" s="1" t="s">
        <v>48</v>
      </c>
      <c r="O1096" s="9">
        <v>10</v>
      </c>
      <c r="P1096" s="1">
        <f>ROUNDUP(620*(1-$F$3),2)</f>
        <v>620</v>
      </c>
      <c r="Q1096" s="1" t="s">
        <v>49</v>
      </c>
      <c r="R1096" s="1" t="s">
        <v>6458</v>
      </c>
      <c r="S1096" s="1" t="s">
        <v>6459</v>
      </c>
      <c r="T1096" s="9">
        <v>10</v>
      </c>
      <c r="U1096" s="1">
        <f>ROUNDUP(563.64*(1-$F$3),2)</f>
        <v>563.64</v>
      </c>
      <c r="V1096" s="1">
        <v>278</v>
      </c>
      <c r="Y1096" s="1" t="s">
        <v>6460</v>
      </c>
      <c r="Z1096" s="1" t="s">
        <v>53</v>
      </c>
      <c r="AA1096" s="12">
        <v>45853</v>
      </c>
      <c r="AB1096" s="1" t="s">
        <v>66</v>
      </c>
      <c r="AC1096" s="1" t="s">
        <v>120</v>
      </c>
      <c r="AD1096" s="1" t="s">
        <v>121</v>
      </c>
      <c r="AE1096" s="1" t="s">
        <v>69</v>
      </c>
      <c r="AG1096" s="1">
        <v>11763970</v>
      </c>
    </row>
    <row r="1097" spans="1:33" s="1" customFormat="1" x14ac:dyDescent="0.25">
      <c r="C1097" s="1" t="s">
        <v>6461</v>
      </c>
      <c r="D1097" s="1" t="s">
        <v>6430</v>
      </c>
      <c r="E1097" s="1" t="s">
        <v>6462</v>
      </c>
      <c r="F1097" s="13" t="s">
        <v>6952</v>
      </c>
      <c r="G1097" s="1" t="s">
        <v>6457</v>
      </c>
      <c r="H1097" s="1" t="s">
        <v>160</v>
      </c>
      <c r="I1097" s="1">
        <v>224</v>
      </c>
      <c r="J1097" s="1" t="s">
        <v>6225</v>
      </c>
      <c r="K1097" s="1" t="s">
        <v>204</v>
      </c>
      <c r="M1097" s="1" t="s">
        <v>47</v>
      </c>
      <c r="N1097" s="1" t="s">
        <v>48</v>
      </c>
      <c r="O1097" s="9">
        <v>10</v>
      </c>
      <c r="P1097" s="1">
        <f>ROUNDUP(720*(1-$F$3),2)</f>
        <v>720</v>
      </c>
      <c r="Q1097" s="1" t="s">
        <v>49</v>
      </c>
      <c r="R1097" s="1" t="s">
        <v>6463</v>
      </c>
      <c r="S1097" s="1" t="s">
        <v>6464</v>
      </c>
      <c r="T1097" s="9">
        <v>10</v>
      </c>
      <c r="U1097" s="1">
        <f>ROUNDUP(654.55*(1-$F$3),2)</f>
        <v>654.54999999999995</v>
      </c>
      <c r="V1097" s="1">
        <v>249</v>
      </c>
      <c r="Y1097" s="1" t="s">
        <v>6465</v>
      </c>
      <c r="Z1097" s="1" t="s">
        <v>53</v>
      </c>
      <c r="AA1097" s="12">
        <v>45698</v>
      </c>
      <c r="AB1097" s="1" t="s">
        <v>66</v>
      </c>
      <c r="AC1097" s="1" t="s">
        <v>120</v>
      </c>
      <c r="AD1097" s="1" t="s">
        <v>121</v>
      </c>
      <c r="AE1097" s="1" t="s">
        <v>69</v>
      </c>
      <c r="AG1097" s="1">
        <v>11618830</v>
      </c>
    </row>
    <row r="1098" spans="1:33" s="1" customFormat="1" x14ac:dyDescent="0.25">
      <c r="C1098" s="1" t="s">
        <v>6466</v>
      </c>
      <c r="D1098" s="1" t="s">
        <v>6430</v>
      </c>
      <c r="E1098" s="1" t="s">
        <v>6467</v>
      </c>
      <c r="F1098" s="13" t="s">
        <v>6952</v>
      </c>
      <c r="G1098" s="1" t="s">
        <v>6457</v>
      </c>
      <c r="H1098" s="1" t="s">
        <v>160</v>
      </c>
      <c r="I1098" s="1">
        <v>224</v>
      </c>
      <c r="J1098" s="1" t="s">
        <v>6225</v>
      </c>
      <c r="K1098" s="1" t="s">
        <v>204</v>
      </c>
      <c r="M1098" s="1" t="s">
        <v>62</v>
      </c>
      <c r="N1098" s="1" t="s">
        <v>48</v>
      </c>
      <c r="O1098" s="9">
        <v>10</v>
      </c>
      <c r="P1098" s="1">
        <f>ROUNDUP(600*(1-$F$3),2)</f>
        <v>600</v>
      </c>
      <c r="Q1098" s="1" t="s">
        <v>49</v>
      </c>
      <c r="R1098" s="1" t="s">
        <v>6468</v>
      </c>
      <c r="S1098" s="1" t="s">
        <v>6469</v>
      </c>
      <c r="T1098" s="9">
        <v>10</v>
      </c>
      <c r="U1098" s="1">
        <f>ROUNDUP(545.45*(1-$F$3),2)</f>
        <v>545.45000000000005</v>
      </c>
      <c r="V1098" s="1">
        <v>259</v>
      </c>
      <c r="Y1098" s="1" t="s">
        <v>6470</v>
      </c>
      <c r="Z1098" s="1" t="s">
        <v>53</v>
      </c>
      <c r="AA1098" s="12">
        <v>45993</v>
      </c>
      <c r="AB1098" s="1" t="s">
        <v>66</v>
      </c>
      <c r="AC1098" s="1" t="s">
        <v>120</v>
      </c>
      <c r="AD1098" s="1" t="s">
        <v>121</v>
      </c>
      <c r="AE1098" s="1" t="s">
        <v>69</v>
      </c>
      <c r="AG1098" s="1">
        <v>11934620</v>
      </c>
    </row>
    <row r="1099" spans="1:33" s="11" customFormat="1" x14ac:dyDescent="0.25">
      <c r="A1099" s="11" t="s">
        <v>6953</v>
      </c>
      <c r="C1099" s="11" t="s">
        <v>6471</v>
      </c>
      <c r="D1099" s="11" t="s">
        <v>6430</v>
      </c>
      <c r="E1099" s="11" t="s">
        <v>6472</v>
      </c>
      <c r="F1099" s="14" t="s">
        <v>6952</v>
      </c>
      <c r="G1099" s="11" t="s">
        <v>6473</v>
      </c>
      <c r="H1099" s="11" t="s">
        <v>160</v>
      </c>
      <c r="I1099" s="11">
        <v>384</v>
      </c>
      <c r="J1099" s="11" t="s">
        <v>6225</v>
      </c>
      <c r="K1099" s="11" t="s">
        <v>204</v>
      </c>
      <c r="M1099" s="11" t="s">
        <v>62</v>
      </c>
      <c r="N1099" s="11" t="s">
        <v>48</v>
      </c>
      <c r="O1099" s="23">
        <v>10</v>
      </c>
      <c r="P1099" s="11">
        <f>ROUNDUP(950*(1-$F$3),2)</f>
        <v>950</v>
      </c>
      <c r="Q1099" s="11" t="s">
        <v>49</v>
      </c>
      <c r="R1099" s="11" t="s">
        <v>6474</v>
      </c>
      <c r="S1099" s="11" t="s">
        <v>6475</v>
      </c>
      <c r="T1099" s="23">
        <v>22</v>
      </c>
      <c r="U1099" s="11">
        <f>ROUNDUP(778.69*(1-$F$3),2)</f>
        <v>778.69</v>
      </c>
      <c r="V1099" s="11">
        <v>389</v>
      </c>
      <c r="Y1099" s="11" t="s">
        <v>6476</v>
      </c>
      <c r="Z1099" s="11" t="s">
        <v>76</v>
      </c>
      <c r="AA1099" s="15">
        <v>46097</v>
      </c>
      <c r="AB1099" s="11" t="s">
        <v>66</v>
      </c>
      <c r="AC1099" s="11" t="s">
        <v>120</v>
      </c>
      <c r="AD1099" s="11" t="s">
        <v>121</v>
      </c>
      <c r="AE1099" s="11" t="s">
        <v>69</v>
      </c>
      <c r="AG1099" s="11">
        <v>12039030</v>
      </c>
    </row>
    <row r="1100" spans="1:33" s="1" customFormat="1" x14ac:dyDescent="0.25">
      <c r="C1100" s="1" t="s">
        <v>6477</v>
      </c>
      <c r="D1100" s="1" t="s">
        <v>6430</v>
      </c>
      <c r="E1100" s="1" t="s">
        <v>6478</v>
      </c>
      <c r="F1100" s="13" t="s">
        <v>6952</v>
      </c>
      <c r="G1100" s="1" t="s">
        <v>6473</v>
      </c>
      <c r="H1100" s="1" t="s">
        <v>160</v>
      </c>
      <c r="I1100" s="1">
        <v>416</v>
      </c>
      <c r="J1100" s="1" t="s">
        <v>6225</v>
      </c>
      <c r="K1100" s="1" t="s">
        <v>204</v>
      </c>
      <c r="M1100" s="1" t="s">
        <v>47</v>
      </c>
      <c r="N1100" s="1" t="s">
        <v>48</v>
      </c>
      <c r="O1100" s="9">
        <v>12</v>
      </c>
      <c r="P1100" s="1">
        <f>ROUNDUP(1250*(1-$F$3),2)</f>
        <v>1250</v>
      </c>
      <c r="Q1100" s="1" t="s">
        <v>49</v>
      </c>
      <c r="R1100" s="1" t="s">
        <v>6479</v>
      </c>
      <c r="S1100" s="1" t="s">
        <v>6480</v>
      </c>
      <c r="T1100" s="9">
        <v>22</v>
      </c>
      <c r="U1100" s="1">
        <f>ROUNDUP(1024.59*(1-$F$3),2)</f>
        <v>1024.5899999999999</v>
      </c>
      <c r="V1100" s="1">
        <v>391</v>
      </c>
      <c r="Y1100" s="1" t="s">
        <v>6481</v>
      </c>
      <c r="Z1100" s="1" t="s">
        <v>76</v>
      </c>
      <c r="AA1100" s="12">
        <v>45683</v>
      </c>
      <c r="AB1100" s="1" t="s">
        <v>66</v>
      </c>
      <c r="AC1100" s="1" t="s">
        <v>120</v>
      </c>
      <c r="AD1100" s="1" t="s">
        <v>121</v>
      </c>
      <c r="AE1100" s="1" t="s">
        <v>69</v>
      </c>
      <c r="AG1100" s="1">
        <v>11613560</v>
      </c>
    </row>
    <row r="1101" spans="1:33" s="1" customFormat="1" x14ac:dyDescent="0.25">
      <c r="C1101" s="1" t="s">
        <v>6482</v>
      </c>
      <c r="D1101" s="1" t="s">
        <v>6430</v>
      </c>
      <c r="E1101" s="1" t="s">
        <v>6483</v>
      </c>
      <c r="F1101" s="13" t="s">
        <v>6952</v>
      </c>
      <c r="G1101" s="1" t="s">
        <v>6484</v>
      </c>
      <c r="H1101" s="1" t="s">
        <v>160</v>
      </c>
      <c r="I1101" s="1">
        <v>496</v>
      </c>
      <c r="J1101" s="1" t="s">
        <v>6225</v>
      </c>
      <c r="K1101" s="1" t="s">
        <v>204</v>
      </c>
      <c r="M1101" s="1" t="s">
        <v>176</v>
      </c>
      <c r="N1101" s="1" t="s">
        <v>48</v>
      </c>
      <c r="O1101" s="9">
        <v>8</v>
      </c>
      <c r="P1101" s="1">
        <f>ROUNDUP(1310*(1-$F$3),2)</f>
        <v>1310</v>
      </c>
      <c r="Q1101" s="1" t="s">
        <v>49</v>
      </c>
      <c r="R1101" s="1" t="s">
        <v>6485</v>
      </c>
      <c r="S1101" s="1" t="s">
        <v>6486</v>
      </c>
      <c r="T1101" s="9">
        <v>22</v>
      </c>
      <c r="U1101" s="1">
        <f>ROUNDUP(1073.77*(1-$F$3),2)</f>
        <v>1073.77</v>
      </c>
      <c r="V1101" s="1">
        <v>502</v>
      </c>
      <c r="Y1101" s="1" t="s">
        <v>6487</v>
      </c>
      <c r="Z1101" s="1" t="s">
        <v>76</v>
      </c>
      <c r="AA1101" s="12">
        <v>45603</v>
      </c>
      <c r="AB1101" s="1" t="s">
        <v>66</v>
      </c>
      <c r="AC1101" s="1" t="s">
        <v>120</v>
      </c>
      <c r="AD1101" s="1" t="s">
        <v>121</v>
      </c>
      <c r="AE1101" s="1" t="s">
        <v>69</v>
      </c>
      <c r="AG1101" s="1">
        <v>11541500</v>
      </c>
    </row>
    <row r="1102" spans="1:33" s="1" customFormat="1" x14ac:dyDescent="0.25">
      <c r="C1102" s="1" t="s">
        <v>6488</v>
      </c>
      <c r="D1102" s="1" t="s">
        <v>6430</v>
      </c>
      <c r="E1102" s="1" t="s">
        <v>6489</v>
      </c>
      <c r="F1102" s="13" t="s">
        <v>6952</v>
      </c>
      <c r="G1102" s="1" t="s">
        <v>6473</v>
      </c>
      <c r="H1102" s="1" t="s">
        <v>160</v>
      </c>
      <c r="I1102" s="1">
        <v>416</v>
      </c>
      <c r="J1102" s="1" t="s">
        <v>6225</v>
      </c>
      <c r="K1102" s="1" t="s">
        <v>204</v>
      </c>
      <c r="M1102" s="1" t="s">
        <v>62</v>
      </c>
      <c r="N1102" s="1" t="s">
        <v>48</v>
      </c>
      <c r="O1102" s="9">
        <v>6</v>
      </c>
      <c r="P1102" s="1">
        <f>ROUNDUP(1200*(1-$F$3),2)</f>
        <v>1200</v>
      </c>
      <c r="Q1102" s="1" t="s">
        <v>49</v>
      </c>
      <c r="R1102" s="1" t="s">
        <v>6490</v>
      </c>
      <c r="S1102" s="1" t="s">
        <v>6491</v>
      </c>
      <c r="T1102" s="9">
        <v>22</v>
      </c>
      <c r="U1102" s="1">
        <f>ROUNDUP(983.61*(1-$F$3),2)</f>
        <v>983.61</v>
      </c>
      <c r="V1102" s="1">
        <v>408</v>
      </c>
      <c r="Y1102" s="1" t="s">
        <v>6492</v>
      </c>
      <c r="Z1102" s="1" t="s">
        <v>76</v>
      </c>
      <c r="AA1102" s="12">
        <v>45971</v>
      </c>
      <c r="AB1102" s="1" t="s">
        <v>66</v>
      </c>
      <c r="AC1102" s="1" t="s">
        <v>120</v>
      </c>
      <c r="AD1102" s="1" t="s">
        <v>121</v>
      </c>
      <c r="AE1102" s="1" t="s">
        <v>69</v>
      </c>
      <c r="AG1102" s="1">
        <v>11916080</v>
      </c>
    </row>
    <row r="1103" spans="1:33" s="1" customFormat="1" x14ac:dyDescent="0.25">
      <c r="C1103" s="1" t="s">
        <v>6493</v>
      </c>
      <c r="D1103" s="1" t="s">
        <v>6494</v>
      </c>
      <c r="E1103" s="1" t="s">
        <v>6495</v>
      </c>
      <c r="F1103" s="13" t="s">
        <v>6952</v>
      </c>
      <c r="G1103" s="1" t="s">
        <v>6496</v>
      </c>
      <c r="H1103" s="1" t="s">
        <v>160</v>
      </c>
      <c r="I1103" s="1">
        <v>384</v>
      </c>
      <c r="J1103" s="1" t="s">
        <v>6225</v>
      </c>
      <c r="K1103" s="1" t="s">
        <v>204</v>
      </c>
      <c r="M1103" s="1" t="s">
        <v>161</v>
      </c>
      <c r="N1103" s="1" t="s">
        <v>139</v>
      </c>
      <c r="O1103" s="9">
        <v>4</v>
      </c>
      <c r="P1103" s="1">
        <f>ROUNDUP(760*(1-$F$3),2)</f>
        <v>760</v>
      </c>
      <c r="Q1103" s="1" t="s">
        <v>49</v>
      </c>
      <c r="R1103" s="1" t="s">
        <v>6497</v>
      </c>
      <c r="S1103" s="1" t="s">
        <v>6498</v>
      </c>
      <c r="T1103" s="9">
        <v>10</v>
      </c>
      <c r="U1103" s="1">
        <f>ROUNDUP(690.91*(1-$F$3),2)</f>
        <v>690.91</v>
      </c>
      <c r="V1103" s="1">
        <v>305</v>
      </c>
      <c r="Y1103" s="1" t="s">
        <v>6499</v>
      </c>
      <c r="Z1103" s="1" t="s">
        <v>53</v>
      </c>
      <c r="AA1103" s="12">
        <v>45603</v>
      </c>
      <c r="AB1103" s="1" t="s">
        <v>66</v>
      </c>
      <c r="AC1103" s="1" t="s">
        <v>67</v>
      </c>
      <c r="AD1103" s="1" t="s">
        <v>180</v>
      </c>
      <c r="AE1103" s="1" t="s">
        <v>69</v>
      </c>
      <c r="AG1103" s="1">
        <v>11540990</v>
      </c>
    </row>
    <row r="1104" spans="1:33" s="1" customFormat="1" x14ac:dyDescent="0.25">
      <c r="C1104" s="1" t="s">
        <v>6500</v>
      </c>
      <c r="D1104" s="1" t="s">
        <v>6494</v>
      </c>
      <c r="E1104" s="1" t="s">
        <v>6501</v>
      </c>
      <c r="F1104" s="13" t="s">
        <v>6952</v>
      </c>
      <c r="G1104" s="1" t="s">
        <v>6496</v>
      </c>
      <c r="H1104" s="1" t="s">
        <v>160</v>
      </c>
      <c r="I1104" s="1">
        <v>1392</v>
      </c>
      <c r="J1104" s="1" t="s">
        <v>6225</v>
      </c>
      <c r="K1104" s="1" t="s">
        <v>204</v>
      </c>
      <c r="M1104" s="1" t="s">
        <v>161</v>
      </c>
      <c r="N1104" s="1" t="s">
        <v>139</v>
      </c>
      <c r="O1104" s="9"/>
      <c r="P1104" s="1">
        <f>ROUNDUP(3410*(1-$F$3),2)</f>
        <v>3410</v>
      </c>
      <c r="Q1104" s="1" t="s">
        <v>49</v>
      </c>
      <c r="R1104" s="1" t="s">
        <v>6502</v>
      </c>
      <c r="S1104" s="1" t="s">
        <v>6503</v>
      </c>
      <c r="T1104" s="9">
        <v>10</v>
      </c>
      <c r="U1104" s="1">
        <f>ROUNDUP(3100*(1-$F$3),2)</f>
        <v>3100</v>
      </c>
      <c r="V1104" s="1">
        <v>1145</v>
      </c>
      <c r="Y1104" s="1" t="s">
        <v>6504</v>
      </c>
      <c r="Z1104" s="1" t="s">
        <v>53</v>
      </c>
      <c r="AA1104" s="12">
        <v>45603</v>
      </c>
      <c r="AB1104" s="1" t="s">
        <v>66</v>
      </c>
      <c r="AC1104" s="1" t="s">
        <v>67</v>
      </c>
      <c r="AD1104" s="1" t="s">
        <v>180</v>
      </c>
      <c r="AE1104" s="1" t="s">
        <v>69</v>
      </c>
      <c r="AG1104" s="1">
        <v>11541000</v>
      </c>
    </row>
    <row r="1105" spans="3:33" s="1" customFormat="1" x14ac:dyDescent="0.25">
      <c r="C1105" s="1" t="s">
        <v>6505</v>
      </c>
      <c r="D1105" s="1" t="s">
        <v>6494</v>
      </c>
      <c r="E1105" s="1" t="s">
        <v>6506</v>
      </c>
      <c r="F1105" s="13" t="s">
        <v>6952</v>
      </c>
      <c r="G1105" s="1" t="s">
        <v>6496</v>
      </c>
      <c r="H1105" s="1" t="s">
        <v>160</v>
      </c>
      <c r="I1105" s="1">
        <v>224</v>
      </c>
      <c r="J1105" s="1" t="s">
        <v>6225</v>
      </c>
      <c r="K1105" s="1" t="s">
        <v>204</v>
      </c>
      <c r="M1105" s="1" t="s">
        <v>161</v>
      </c>
      <c r="N1105" s="1" t="s">
        <v>139</v>
      </c>
      <c r="O1105" s="9">
        <v>7</v>
      </c>
      <c r="P1105" s="1">
        <f>ROUNDUP(760*(1-$F$3),2)</f>
        <v>760</v>
      </c>
      <c r="Q1105" s="1" t="s">
        <v>49</v>
      </c>
      <c r="R1105" s="1" t="s">
        <v>6507</v>
      </c>
      <c r="S1105" s="1" t="s">
        <v>6508</v>
      </c>
      <c r="T1105" s="9">
        <v>10</v>
      </c>
      <c r="U1105" s="1">
        <f>ROUNDUP(690.91*(1-$F$3),2)</f>
        <v>690.91</v>
      </c>
      <c r="V1105" s="1">
        <v>186</v>
      </c>
      <c r="Y1105" s="1" t="s">
        <v>6509</v>
      </c>
      <c r="Z1105" s="1" t="s">
        <v>53</v>
      </c>
      <c r="AA1105" s="12">
        <v>45603</v>
      </c>
      <c r="AB1105" s="1" t="s">
        <v>66</v>
      </c>
      <c r="AC1105" s="1" t="s">
        <v>67</v>
      </c>
      <c r="AD1105" s="1" t="s">
        <v>180</v>
      </c>
      <c r="AE1105" s="1" t="s">
        <v>69</v>
      </c>
      <c r="AG1105" s="1">
        <v>11540960</v>
      </c>
    </row>
    <row r="1106" spans="3:33" s="1" customFormat="1" x14ac:dyDescent="0.25">
      <c r="C1106" s="1" t="s">
        <v>6510</v>
      </c>
      <c r="D1106" s="1" t="s">
        <v>6494</v>
      </c>
      <c r="E1106" s="1" t="s">
        <v>6511</v>
      </c>
      <c r="F1106" s="13" t="s">
        <v>6952</v>
      </c>
      <c r="G1106" s="1" t="s">
        <v>6496</v>
      </c>
      <c r="H1106" s="1" t="s">
        <v>160</v>
      </c>
      <c r="I1106" s="1">
        <v>256</v>
      </c>
      <c r="J1106" s="1" t="s">
        <v>6225</v>
      </c>
      <c r="K1106" s="1" t="s">
        <v>204</v>
      </c>
      <c r="M1106" s="1" t="s">
        <v>161</v>
      </c>
      <c r="N1106" s="1" t="s">
        <v>139</v>
      </c>
      <c r="O1106" s="9">
        <v>6</v>
      </c>
      <c r="P1106" s="1">
        <f>ROUNDUP(760*(1-$F$3),2)</f>
        <v>760</v>
      </c>
      <c r="Q1106" s="1" t="s">
        <v>49</v>
      </c>
      <c r="R1106" s="1" t="s">
        <v>6512</v>
      </c>
      <c r="S1106" s="1" t="s">
        <v>6513</v>
      </c>
      <c r="T1106" s="9">
        <v>10</v>
      </c>
      <c r="U1106" s="1">
        <f>ROUNDUP(690.91*(1-$F$3),2)</f>
        <v>690.91</v>
      </c>
      <c r="V1106" s="1">
        <v>211</v>
      </c>
      <c r="Y1106" s="1" t="s">
        <v>6514</v>
      </c>
      <c r="Z1106" s="1" t="s">
        <v>53</v>
      </c>
      <c r="AA1106" s="12">
        <v>45603</v>
      </c>
      <c r="AB1106" s="1" t="s">
        <v>66</v>
      </c>
      <c r="AC1106" s="1" t="s">
        <v>67</v>
      </c>
      <c r="AD1106" s="1" t="s">
        <v>180</v>
      </c>
      <c r="AE1106" s="1" t="s">
        <v>69</v>
      </c>
      <c r="AG1106" s="1">
        <v>11540980</v>
      </c>
    </row>
    <row r="1107" spans="3:33" s="1" customFormat="1" x14ac:dyDescent="0.25">
      <c r="C1107" s="1" t="s">
        <v>6515</v>
      </c>
      <c r="D1107" s="1" t="s">
        <v>6494</v>
      </c>
      <c r="E1107" s="1" t="s">
        <v>6516</v>
      </c>
      <c r="F1107" s="13" t="s">
        <v>6952</v>
      </c>
      <c r="G1107" s="1" t="s">
        <v>6496</v>
      </c>
      <c r="H1107" s="1" t="s">
        <v>160</v>
      </c>
      <c r="I1107" s="1">
        <v>224</v>
      </c>
      <c r="J1107" s="1" t="s">
        <v>6225</v>
      </c>
      <c r="K1107" s="1" t="s">
        <v>204</v>
      </c>
      <c r="M1107" s="1" t="s">
        <v>161</v>
      </c>
      <c r="N1107" s="1" t="s">
        <v>139</v>
      </c>
      <c r="O1107" s="9">
        <v>7</v>
      </c>
      <c r="P1107" s="1">
        <f>ROUNDUP(760*(1-$F$3),2)</f>
        <v>760</v>
      </c>
      <c r="Q1107" s="1" t="s">
        <v>49</v>
      </c>
      <c r="R1107" s="1" t="s">
        <v>6517</v>
      </c>
      <c r="S1107" s="1" t="s">
        <v>6518</v>
      </c>
      <c r="T1107" s="9">
        <v>10</v>
      </c>
      <c r="U1107" s="1">
        <f>ROUNDUP(690.91*(1-$F$3),2)</f>
        <v>690.91</v>
      </c>
      <c r="V1107" s="1">
        <v>184</v>
      </c>
      <c r="Y1107" s="1" t="s">
        <v>6519</v>
      </c>
      <c r="Z1107" s="1" t="s">
        <v>53</v>
      </c>
      <c r="AA1107" s="12">
        <v>45603</v>
      </c>
      <c r="AB1107" s="1" t="s">
        <v>66</v>
      </c>
      <c r="AC1107" s="1" t="s">
        <v>67</v>
      </c>
      <c r="AD1107" s="1" t="s">
        <v>180</v>
      </c>
      <c r="AE1107" s="1" t="s">
        <v>69</v>
      </c>
      <c r="AG1107" s="1">
        <v>11540950</v>
      </c>
    </row>
    <row r="1108" spans="3:33" s="1" customFormat="1" x14ac:dyDescent="0.25">
      <c r="C1108" s="1" t="s">
        <v>6520</v>
      </c>
      <c r="D1108" s="1" t="s">
        <v>6494</v>
      </c>
      <c r="E1108" s="1" t="s">
        <v>6521</v>
      </c>
      <c r="F1108" s="13" t="s">
        <v>6952</v>
      </c>
      <c r="G1108" s="1" t="s">
        <v>6496</v>
      </c>
      <c r="H1108" s="1" t="s">
        <v>160</v>
      </c>
      <c r="I1108" s="1">
        <v>304</v>
      </c>
      <c r="J1108" s="1" t="s">
        <v>6225</v>
      </c>
      <c r="K1108" s="1" t="s">
        <v>204</v>
      </c>
      <c r="M1108" s="1" t="s">
        <v>161</v>
      </c>
      <c r="N1108" s="1" t="s">
        <v>139</v>
      </c>
      <c r="O1108" s="9">
        <v>5</v>
      </c>
      <c r="P1108" s="1">
        <f>ROUNDUP(760*(1-$F$3),2)</f>
        <v>760</v>
      </c>
      <c r="Q1108" s="1" t="s">
        <v>49</v>
      </c>
      <c r="R1108" s="1" t="s">
        <v>6522</v>
      </c>
      <c r="S1108" s="1" t="s">
        <v>6523</v>
      </c>
      <c r="T1108" s="9">
        <v>10</v>
      </c>
      <c r="U1108" s="1">
        <f>ROUNDUP(690.91*(1-$F$3),2)</f>
        <v>690.91</v>
      </c>
      <c r="V1108" s="1">
        <v>248</v>
      </c>
      <c r="Y1108" s="1" t="s">
        <v>6524</v>
      </c>
      <c r="Z1108" s="1" t="s">
        <v>53</v>
      </c>
      <c r="AA1108" s="12">
        <v>45603</v>
      </c>
      <c r="AB1108" s="1" t="s">
        <v>66</v>
      </c>
      <c r="AC1108" s="1" t="s">
        <v>67</v>
      </c>
      <c r="AD1108" s="1" t="s">
        <v>180</v>
      </c>
      <c r="AE1108" s="1" t="s">
        <v>69</v>
      </c>
      <c r="AG1108" s="1">
        <v>11540970</v>
      </c>
    </row>
    <row r="1109" spans="3:33" s="1" customFormat="1" x14ac:dyDescent="0.25">
      <c r="C1109" s="1" t="s">
        <v>6525</v>
      </c>
      <c r="D1109" s="1" t="s">
        <v>6494</v>
      </c>
      <c r="E1109" s="1" t="s">
        <v>6526</v>
      </c>
      <c r="F1109" s="13" t="s">
        <v>6952</v>
      </c>
      <c r="G1109" s="1" t="s">
        <v>6496</v>
      </c>
      <c r="H1109" s="1" t="s">
        <v>160</v>
      </c>
      <c r="I1109" s="1">
        <v>224</v>
      </c>
      <c r="J1109" s="1" t="s">
        <v>6225</v>
      </c>
      <c r="K1109" s="1" t="s">
        <v>204</v>
      </c>
      <c r="M1109" s="1" t="s">
        <v>161</v>
      </c>
      <c r="N1109" s="1" t="s">
        <v>139</v>
      </c>
      <c r="O1109" s="9">
        <v>7</v>
      </c>
      <c r="P1109" s="1">
        <f>ROUNDUP(760*(1-$F$3),2)</f>
        <v>760</v>
      </c>
      <c r="Q1109" s="1" t="s">
        <v>49</v>
      </c>
      <c r="R1109" s="1" t="s">
        <v>6527</v>
      </c>
      <c r="S1109" s="1" t="s">
        <v>6528</v>
      </c>
      <c r="T1109" s="9">
        <v>10</v>
      </c>
      <c r="U1109" s="1">
        <f>ROUNDUP(690.91*(1-$F$3),2)</f>
        <v>690.91</v>
      </c>
      <c r="V1109" s="1">
        <v>185</v>
      </c>
      <c r="Y1109" s="1" t="s">
        <v>6529</v>
      </c>
      <c r="Z1109" s="1" t="s">
        <v>53</v>
      </c>
      <c r="AA1109" s="12">
        <v>45603</v>
      </c>
      <c r="AB1109" s="1" t="s">
        <v>66</v>
      </c>
      <c r="AC1109" s="1" t="s">
        <v>67</v>
      </c>
      <c r="AD1109" s="1" t="s">
        <v>180</v>
      </c>
      <c r="AE1109" s="1" t="s">
        <v>69</v>
      </c>
      <c r="AG1109" s="1">
        <v>11540940</v>
      </c>
    </row>
    <row r="1110" spans="3:33" s="1" customFormat="1" x14ac:dyDescent="0.25">
      <c r="C1110" s="1" t="s">
        <v>6530</v>
      </c>
      <c r="D1110" s="1" t="s">
        <v>6531</v>
      </c>
      <c r="E1110" s="1" t="s">
        <v>6532</v>
      </c>
      <c r="F1110" s="13" t="s">
        <v>6952</v>
      </c>
      <c r="G1110" s="1" t="s">
        <v>6533</v>
      </c>
      <c r="H1110" s="1" t="s">
        <v>61</v>
      </c>
      <c r="I1110" s="1">
        <v>512</v>
      </c>
      <c r="J1110" s="1" t="s">
        <v>6225</v>
      </c>
      <c r="K1110" s="1" t="s">
        <v>204</v>
      </c>
      <c r="M1110" s="1" t="s">
        <v>47</v>
      </c>
      <c r="N1110" s="1" t="s">
        <v>48</v>
      </c>
      <c r="O1110" s="9">
        <v>10</v>
      </c>
      <c r="P1110" s="1">
        <f>ROUNDUP(1160*(1-$F$3),2)</f>
        <v>1160</v>
      </c>
      <c r="Q1110" s="1" t="s">
        <v>49</v>
      </c>
      <c r="R1110" s="1" t="s">
        <v>6534</v>
      </c>
      <c r="S1110" s="1" t="s">
        <v>6535</v>
      </c>
      <c r="T1110" s="9">
        <v>22</v>
      </c>
      <c r="U1110" s="1">
        <f>ROUNDUP(950.82*(1-$F$3),2)</f>
        <v>950.82</v>
      </c>
      <c r="V1110" s="1">
        <v>561</v>
      </c>
      <c r="Y1110" s="1" t="s">
        <v>6536</v>
      </c>
      <c r="Z1110" s="1" t="s">
        <v>76</v>
      </c>
      <c r="AA1110" s="12">
        <v>45742</v>
      </c>
      <c r="AB1110" s="1" t="s">
        <v>66</v>
      </c>
      <c r="AC1110" s="1" t="s">
        <v>67</v>
      </c>
      <c r="AD1110" s="1" t="s">
        <v>180</v>
      </c>
      <c r="AE1110" s="1" t="s">
        <v>69</v>
      </c>
      <c r="AG1110" s="1">
        <v>11688440</v>
      </c>
    </row>
    <row r="1111" spans="3:33" s="1" customFormat="1" x14ac:dyDescent="0.25">
      <c r="C1111" s="1" t="s">
        <v>6537</v>
      </c>
      <c r="D1111" s="1" t="s">
        <v>6538</v>
      </c>
      <c r="E1111" s="1" t="s">
        <v>6539</v>
      </c>
      <c r="F1111" s="13" t="s">
        <v>6952</v>
      </c>
      <c r="G1111" s="1" t="s">
        <v>6540</v>
      </c>
      <c r="H1111" s="1" t="s">
        <v>160</v>
      </c>
      <c r="I1111" s="1">
        <v>352</v>
      </c>
      <c r="J1111" s="1" t="s">
        <v>6225</v>
      </c>
      <c r="K1111" s="1" t="s">
        <v>204</v>
      </c>
      <c r="M1111" s="1" t="s">
        <v>47</v>
      </c>
      <c r="N1111" s="1" t="s">
        <v>48</v>
      </c>
      <c r="O1111" s="9">
        <v>5</v>
      </c>
      <c r="P1111" s="1">
        <f>ROUNDUP(1000*(1-$F$3),2)</f>
        <v>1000</v>
      </c>
      <c r="Q1111" s="1" t="s">
        <v>49</v>
      </c>
      <c r="R1111" s="1" t="s">
        <v>6541</v>
      </c>
      <c r="S1111" s="1" t="s">
        <v>6542</v>
      </c>
      <c r="T1111" s="9">
        <v>10</v>
      </c>
      <c r="U1111" s="1">
        <f>ROUNDUP(909.09*(1-$F$3),2)</f>
        <v>909.09</v>
      </c>
      <c r="V1111" s="1">
        <v>449</v>
      </c>
      <c r="Y1111" s="1" t="s">
        <v>6543</v>
      </c>
      <c r="Z1111" s="1" t="s">
        <v>53</v>
      </c>
      <c r="AA1111" s="12">
        <v>45903</v>
      </c>
      <c r="AB1111" s="1" t="s">
        <v>66</v>
      </c>
      <c r="AC1111" s="1" t="s">
        <v>143</v>
      </c>
      <c r="AD1111" s="1" t="s">
        <v>4104</v>
      </c>
      <c r="AE1111" s="1" t="s">
        <v>69</v>
      </c>
      <c r="AG1111" s="1">
        <v>11860020</v>
      </c>
    </row>
    <row r="1112" spans="3:33" s="1" customFormat="1" x14ac:dyDescent="0.25">
      <c r="C1112" s="1" t="s">
        <v>6544</v>
      </c>
      <c r="D1112" s="1" t="s">
        <v>6538</v>
      </c>
      <c r="E1112" s="1" t="s">
        <v>6545</v>
      </c>
      <c r="F1112" s="13" t="s">
        <v>6952</v>
      </c>
      <c r="G1112" s="1" t="s">
        <v>6224</v>
      </c>
      <c r="H1112" s="1" t="s">
        <v>160</v>
      </c>
      <c r="I1112" s="1">
        <v>336</v>
      </c>
      <c r="J1112" s="1" t="s">
        <v>6225</v>
      </c>
      <c r="K1112" s="1" t="s">
        <v>204</v>
      </c>
      <c r="M1112" s="1" t="s">
        <v>161</v>
      </c>
      <c r="N1112" s="1" t="s">
        <v>139</v>
      </c>
      <c r="O1112" s="9">
        <v>10</v>
      </c>
      <c r="P1112" s="1">
        <f>ROUNDUP(1110*(1-$F$3),2)</f>
        <v>1110</v>
      </c>
      <c r="Q1112" s="1" t="s">
        <v>49</v>
      </c>
      <c r="R1112" s="1" t="s">
        <v>6546</v>
      </c>
      <c r="S1112" s="1" t="s">
        <v>6547</v>
      </c>
      <c r="T1112" s="9">
        <v>22</v>
      </c>
      <c r="U1112" s="1">
        <f>ROUNDUP(909.84*(1-$F$3),2)</f>
        <v>909.84</v>
      </c>
      <c r="V1112" s="1">
        <v>277</v>
      </c>
      <c r="Y1112" s="1" t="s">
        <v>6548</v>
      </c>
      <c r="Z1112" s="1" t="s">
        <v>76</v>
      </c>
      <c r="AA1112" s="12">
        <v>45603</v>
      </c>
      <c r="AB1112" s="1" t="s">
        <v>66</v>
      </c>
      <c r="AC1112" s="1" t="s">
        <v>143</v>
      </c>
      <c r="AD1112" s="1" t="s">
        <v>4104</v>
      </c>
      <c r="AE1112" s="1" t="s">
        <v>69</v>
      </c>
      <c r="AG1112" s="1">
        <v>11540870</v>
      </c>
    </row>
    <row r="1113" spans="3:33" s="1" customFormat="1" x14ac:dyDescent="0.25">
      <c r="C1113" s="1" t="s">
        <v>6549</v>
      </c>
      <c r="D1113" s="1" t="s">
        <v>6538</v>
      </c>
      <c r="E1113" s="1" t="s">
        <v>6550</v>
      </c>
      <c r="F1113" s="13" t="s">
        <v>6952</v>
      </c>
      <c r="G1113" s="1" t="s">
        <v>6224</v>
      </c>
      <c r="H1113" s="1" t="s">
        <v>160</v>
      </c>
      <c r="I1113" s="1">
        <v>288</v>
      </c>
      <c r="J1113" s="1" t="s">
        <v>6225</v>
      </c>
      <c r="K1113" s="1" t="s">
        <v>204</v>
      </c>
      <c r="M1113" s="1" t="s">
        <v>161</v>
      </c>
      <c r="N1113" s="1" t="s">
        <v>139</v>
      </c>
      <c r="O1113" s="9">
        <v>12</v>
      </c>
      <c r="P1113" s="1">
        <f>ROUNDUP(1110*(1-$F$3),2)</f>
        <v>1110</v>
      </c>
      <c r="Q1113" s="1" t="s">
        <v>49</v>
      </c>
      <c r="R1113" s="1" t="s">
        <v>6551</v>
      </c>
      <c r="S1113" s="1" t="s">
        <v>6552</v>
      </c>
      <c r="T1113" s="9">
        <v>10</v>
      </c>
      <c r="U1113" s="1">
        <f>ROUNDUP(1009.09*(1-$F$3),2)</f>
        <v>1009.09</v>
      </c>
      <c r="V1113" s="1">
        <v>241</v>
      </c>
      <c r="Y1113" s="1" t="s">
        <v>6553</v>
      </c>
      <c r="Z1113" s="1" t="s">
        <v>53</v>
      </c>
      <c r="AA1113" s="12">
        <v>45603</v>
      </c>
      <c r="AB1113" s="1" t="s">
        <v>66</v>
      </c>
      <c r="AC1113" s="1" t="s">
        <v>143</v>
      </c>
      <c r="AD1113" s="1" t="s">
        <v>4104</v>
      </c>
      <c r="AE1113" s="1" t="s">
        <v>69</v>
      </c>
      <c r="AG1113" s="1">
        <v>11540880</v>
      </c>
    </row>
    <row r="1114" spans="3:33" s="1" customFormat="1" x14ac:dyDescent="0.25">
      <c r="C1114" s="1" t="s">
        <v>6554</v>
      </c>
      <c r="D1114" s="1" t="s">
        <v>6538</v>
      </c>
      <c r="E1114" s="1" t="s">
        <v>6555</v>
      </c>
      <c r="F1114" s="13" t="s">
        <v>6952</v>
      </c>
      <c r="G1114" s="1" t="s">
        <v>6556</v>
      </c>
      <c r="H1114" s="1" t="s">
        <v>160</v>
      </c>
      <c r="I1114" s="1">
        <v>416</v>
      </c>
      <c r="J1114" s="1" t="s">
        <v>6225</v>
      </c>
      <c r="K1114" s="1" t="s">
        <v>204</v>
      </c>
      <c r="M1114" s="1" t="s">
        <v>47</v>
      </c>
      <c r="N1114" s="1" t="s">
        <v>48</v>
      </c>
      <c r="O1114" s="9">
        <v>6</v>
      </c>
      <c r="P1114" s="1">
        <f>ROUNDUP(920*(1-$F$3),2)</f>
        <v>920</v>
      </c>
      <c r="Q1114" s="1" t="s">
        <v>49</v>
      </c>
      <c r="R1114" s="1" t="s">
        <v>6557</v>
      </c>
      <c r="S1114" s="1" t="s">
        <v>6558</v>
      </c>
      <c r="T1114" s="9">
        <v>22</v>
      </c>
      <c r="U1114" s="1">
        <f>ROUNDUP(754.1*(1-$F$3),2)</f>
        <v>754.1</v>
      </c>
      <c r="V1114" s="1">
        <v>399</v>
      </c>
      <c r="Y1114" s="1" t="s">
        <v>6559</v>
      </c>
      <c r="Z1114" s="1" t="s">
        <v>76</v>
      </c>
      <c r="AA1114" s="12">
        <v>45914</v>
      </c>
      <c r="AB1114" s="1" t="s">
        <v>66</v>
      </c>
      <c r="AC1114" s="1" t="s">
        <v>143</v>
      </c>
      <c r="AD1114" s="1" t="s">
        <v>847</v>
      </c>
      <c r="AE1114" s="1" t="s">
        <v>69</v>
      </c>
      <c r="AG1114" s="1">
        <v>11859790</v>
      </c>
    </row>
    <row r="1115" spans="3:33" s="1" customFormat="1" x14ac:dyDescent="0.25">
      <c r="C1115" s="1" t="s">
        <v>6560</v>
      </c>
      <c r="D1115" s="1" t="s">
        <v>6538</v>
      </c>
      <c r="E1115" s="1" t="s">
        <v>6561</v>
      </c>
      <c r="F1115" s="13" t="s">
        <v>6952</v>
      </c>
      <c r="G1115" s="1" t="s">
        <v>6562</v>
      </c>
      <c r="H1115" s="1" t="s">
        <v>160</v>
      </c>
      <c r="I1115" s="1">
        <v>416</v>
      </c>
      <c r="J1115" s="1" t="s">
        <v>6225</v>
      </c>
      <c r="K1115" s="1" t="s">
        <v>204</v>
      </c>
      <c r="M1115" s="1" t="s">
        <v>161</v>
      </c>
      <c r="N1115" s="1" t="s">
        <v>48</v>
      </c>
      <c r="O1115" s="9">
        <v>7</v>
      </c>
      <c r="P1115" s="1">
        <f>ROUNDUP(1420*(1-$F$3),2)</f>
        <v>1420</v>
      </c>
      <c r="Q1115" s="1" t="s">
        <v>49</v>
      </c>
      <c r="R1115" s="1" t="s">
        <v>6563</v>
      </c>
      <c r="S1115" s="1" t="s">
        <v>6564</v>
      </c>
      <c r="T1115" s="9">
        <v>22</v>
      </c>
      <c r="U1115" s="1">
        <f>ROUNDUP(1163.93*(1-$F$3),2)</f>
        <v>1163.93</v>
      </c>
      <c r="V1115" s="1">
        <v>443</v>
      </c>
      <c r="Y1115" s="1" t="s">
        <v>6565</v>
      </c>
      <c r="Z1115" s="1" t="s">
        <v>76</v>
      </c>
      <c r="AA1115" s="12">
        <v>45603</v>
      </c>
      <c r="AB1115" s="1" t="s">
        <v>66</v>
      </c>
      <c r="AC1115" s="1" t="s">
        <v>143</v>
      </c>
      <c r="AD1115" s="1" t="s">
        <v>144</v>
      </c>
      <c r="AE1115" s="1" t="s">
        <v>69</v>
      </c>
      <c r="AG1115" s="1">
        <v>11541040</v>
      </c>
    </row>
    <row r="1116" spans="3:33" s="1" customFormat="1" x14ac:dyDescent="0.25">
      <c r="C1116" s="1" t="s">
        <v>6566</v>
      </c>
      <c r="D1116" s="1" t="s">
        <v>6538</v>
      </c>
      <c r="E1116" s="1" t="s">
        <v>6567</v>
      </c>
      <c r="F1116" s="13" t="s">
        <v>6952</v>
      </c>
      <c r="G1116" s="1" t="s">
        <v>6224</v>
      </c>
      <c r="H1116" s="1" t="s">
        <v>160</v>
      </c>
      <c r="I1116" s="1">
        <v>272</v>
      </c>
      <c r="J1116" s="1" t="s">
        <v>6225</v>
      </c>
      <c r="K1116" s="1" t="s">
        <v>204</v>
      </c>
      <c r="M1116" s="1" t="s">
        <v>161</v>
      </c>
      <c r="N1116" s="1" t="s">
        <v>139</v>
      </c>
      <c r="O1116" s="9">
        <v>12</v>
      </c>
      <c r="P1116" s="1">
        <f>ROUNDUP(1110*(1-$F$3),2)</f>
        <v>1110</v>
      </c>
      <c r="Q1116" s="1" t="s">
        <v>49</v>
      </c>
      <c r="R1116" s="1" t="s">
        <v>6568</v>
      </c>
      <c r="S1116" s="1" t="s">
        <v>6569</v>
      </c>
      <c r="T1116" s="9">
        <v>10</v>
      </c>
      <c r="U1116" s="1">
        <f>ROUNDUP(1009.09*(1-$F$3),2)</f>
        <v>1009.09</v>
      </c>
      <c r="V1116" s="1">
        <v>228</v>
      </c>
      <c r="Y1116" s="1" t="s">
        <v>6570</v>
      </c>
      <c r="Z1116" s="1" t="s">
        <v>53</v>
      </c>
      <c r="AA1116" s="12">
        <v>45603</v>
      </c>
      <c r="AB1116" s="1" t="s">
        <v>66</v>
      </c>
      <c r="AC1116" s="1" t="s">
        <v>143</v>
      </c>
      <c r="AD1116" s="1" t="s">
        <v>4104</v>
      </c>
      <c r="AE1116" s="1" t="s">
        <v>69</v>
      </c>
      <c r="AG1116" s="1">
        <v>11540910</v>
      </c>
    </row>
    <row r="1117" spans="3:33" s="1" customFormat="1" x14ac:dyDescent="0.25">
      <c r="C1117" s="1" t="s">
        <v>6571</v>
      </c>
      <c r="D1117" s="1" t="s">
        <v>6538</v>
      </c>
      <c r="E1117" s="1" t="s">
        <v>6572</v>
      </c>
      <c r="F1117" s="13" t="s">
        <v>6952</v>
      </c>
      <c r="G1117" s="1" t="s">
        <v>6573</v>
      </c>
      <c r="H1117" s="1" t="s">
        <v>160</v>
      </c>
      <c r="I1117" s="1">
        <v>384</v>
      </c>
      <c r="J1117" s="1" t="s">
        <v>6225</v>
      </c>
      <c r="K1117" s="1" t="s">
        <v>204</v>
      </c>
      <c r="M1117" s="1" t="s">
        <v>176</v>
      </c>
      <c r="N1117" s="1" t="s">
        <v>48</v>
      </c>
      <c r="O1117" s="9">
        <v>8</v>
      </c>
      <c r="P1117" s="1">
        <f>ROUNDUP(1280*(1-$F$3),2)</f>
        <v>1280</v>
      </c>
      <c r="Q1117" s="1" t="s">
        <v>49</v>
      </c>
      <c r="R1117" s="1" t="s">
        <v>6574</v>
      </c>
      <c r="S1117" s="1" t="s">
        <v>6575</v>
      </c>
      <c r="T1117" s="9">
        <v>10</v>
      </c>
      <c r="U1117" s="1">
        <f>ROUNDUP(1163.64*(1-$F$3),2)</f>
        <v>1163.6400000000001</v>
      </c>
      <c r="V1117" s="1">
        <v>404</v>
      </c>
      <c r="Y1117" s="1" t="s">
        <v>6576</v>
      </c>
      <c r="Z1117" s="1" t="s">
        <v>53</v>
      </c>
      <c r="AA1117" s="12">
        <v>45603</v>
      </c>
      <c r="AB1117" s="1" t="s">
        <v>66</v>
      </c>
      <c r="AC1117" s="1" t="s">
        <v>77</v>
      </c>
      <c r="AD1117" s="1" t="s">
        <v>78</v>
      </c>
      <c r="AE1117" s="1" t="s">
        <v>69</v>
      </c>
      <c r="AG1117" s="1">
        <v>11541110</v>
      </c>
    </row>
    <row r="1118" spans="3:33" s="1" customFormat="1" x14ac:dyDescent="0.25">
      <c r="C1118" s="1" t="s">
        <v>6577</v>
      </c>
      <c r="D1118" s="1" t="s">
        <v>6538</v>
      </c>
      <c r="E1118" s="1" t="s">
        <v>6578</v>
      </c>
      <c r="F1118" s="13" t="s">
        <v>6952</v>
      </c>
      <c r="G1118" s="1" t="s">
        <v>6579</v>
      </c>
      <c r="H1118" s="1" t="s">
        <v>160</v>
      </c>
      <c r="I1118" s="1">
        <v>416</v>
      </c>
      <c r="J1118" s="1" t="s">
        <v>6225</v>
      </c>
      <c r="K1118" s="1" t="s">
        <v>204</v>
      </c>
      <c r="M1118" s="1" t="s">
        <v>47</v>
      </c>
      <c r="N1118" s="1" t="s">
        <v>48</v>
      </c>
      <c r="O1118" s="9">
        <v>14</v>
      </c>
      <c r="P1118" s="1">
        <f>ROUNDUP(1040*(1-$F$3),2)</f>
        <v>1040</v>
      </c>
      <c r="Q1118" s="1" t="s">
        <v>49</v>
      </c>
      <c r="R1118" s="1" t="s">
        <v>6580</v>
      </c>
      <c r="S1118" s="1" t="s">
        <v>6581</v>
      </c>
      <c r="T1118" s="9">
        <v>10</v>
      </c>
      <c r="U1118" s="1">
        <f>ROUNDUP(945.45*(1-$F$3),2)</f>
        <v>945.45</v>
      </c>
      <c r="V1118" s="1">
        <v>439</v>
      </c>
      <c r="Y1118" s="1" t="s">
        <v>6582</v>
      </c>
      <c r="Z1118" s="1" t="s">
        <v>53</v>
      </c>
      <c r="AA1118" s="12">
        <v>45764</v>
      </c>
      <c r="AB1118" s="1" t="s">
        <v>66</v>
      </c>
      <c r="AC1118" s="1" t="s">
        <v>143</v>
      </c>
      <c r="AD1118" s="1" t="s">
        <v>4104</v>
      </c>
      <c r="AE1118" s="1" t="s">
        <v>69</v>
      </c>
      <c r="AG1118" s="1">
        <v>11694020</v>
      </c>
    </row>
    <row r="1119" spans="3:33" s="1" customFormat="1" x14ac:dyDescent="0.25">
      <c r="C1119" s="1" t="s">
        <v>6583</v>
      </c>
      <c r="D1119" s="1" t="s">
        <v>6538</v>
      </c>
      <c r="E1119" s="1" t="s">
        <v>6584</v>
      </c>
      <c r="F1119" s="13" t="s">
        <v>6952</v>
      </c>
      <c r="G1119" s="1" t="s">
        <v>6224</v>
      </c>
      <c r="H1119" s="1" t="s">
        <v>160</v>
      </c>
      <c r="I1119" s="1">
        <v>336</v>
      </c>
      <c r="J1119" s="1" t="s">
        <v>6225</v>
      </c>
      <c r="K1119" s="1" t="s">
        <v>204</v>
      </c>
      <c r="M1119" s="1" t="s">
        <v>161</v>
      </c>
      <c r="N1119" s="1" t="s">
        <v>139</v>
      </c>
      <c r="O1119" s="9">
        <v>10</v>
      </c>
      <c r="P1119" s="1">
        <f>ROUNDUP(1110*(1-$F$3),2)</f>
        <v>1110</v>
      </c>
      <c r="Q1119" s="1" t="s">
        <v>49</v>
      </c>
      <c r="R1119" s="1" t="s">
        <v>6585</v>
      </c>
      <c r="S1119" s="1" t="s">
        <v>6586</v>
      </c>
      <c r="T1119" s="9">
        <v>22</v>
      </c>
      <c r="U1119" s="1">
        <f>ROUNDUP(909.84*(1-$F$3),2)</f>
        <v>909.84</v>
      </c>
      <c r="V1119" s="1">
        <v>281</v>
      </c>
      <c r="Y1119" s="1" t="s">
        <v>6587</v>
      </c>
      <c r="Z1119" s="1" t="s">
        <v>76</v>
      </c>
      <c r="AA1119" s="12">
        <v>45603</v>
      </c>
      <c r="AB1119" s="1" t="s">
        <v>66</v>
      </c>
      <c r="AC1119" s="1" t="s">
        <v>143</v>
      </c>
      <c r="AD1119" s="1" t="s">
        <v>4104</v>
      </c>
      <c r="AE1119" s="1" t="s">
        <v>69</v>
      </c>
      <c r="AG1119" s="1">
        <v>11540890</v>
      </c>
    </row>
    <row r="1120" spans="3:33" s="1" customFormat="1" x14ac:dyDescent="0.25">
      <c r="C1120" s="1" t="s">
        <v>6588</v>
      </c>
      <c r="D1120" s="1" t="s">
        <v>6538</v>
      </c>
      <c r="E1120" s="1" t="s">
        <v>6589</v>
      </c>
      <c r="F1120" s="13" t="s">
        <v>6952</v>
      </c>
      <c r="G1120" s="1" t="s">
        <v>6590</v>
      </c>
      <c r="H1120" s="1" t="s">
        <v>160</v>
      </c>
      <c r="I1120" s="1">
        <v>576</v>
      </c>
      <c r="J1120" s="1" t="s">
        <v>6225</v>
      </c>
      <c r="K1120" s="1" t="s">
        <v>204</v>
      </c>
      <c r="M1120" s="1" t="s">
        <v>161</v>
      </c>
      <c r="N1120" s="1" t="s">
        <v>48</v>
      </c>
      <c r="O1120" s="9">
        <v>5</v>
      </c>
      <c r="P1120" s="1">
        <f>ROUNDUP(1420*(1-$F$3),2)</f>
        <v>1420</v>
      </c>
      <c r="Q1120" s="1" t="s">
        <v>49</v>
      </c>
      <c r="R1120" s="1" t="s">
        <v>6591</v>
      </c>
      <c r="S1120" s="1" t="s">
        <v>6592</v>
      </c>
      <c r="T1120" s="9">
        <v>10</v>
      </c>
      <c r="U1120" s="1">
        <f>ROUNDUP(1290.91*(1-$F$3),2)</f>
        <v>1290.9100000000001</v>
      </c>
      <c r="V1120" s="1">
        <v>578</v>
      </c>
      <c r="Y1120" s="1" t="s">
        <v>6593</v>
      </c>
      <c r="Z1120" s="1" t="s">
        <v>53</v>
      </c>
      <c r="AA1120" s="12">
        <v>45603</v>
      </c>
      <c r="AB1120" s="1" t="s">
        <v>66</v>
      </c>
      <c r="AC1120" s="1" t="s">
        <v>120</v>
      </c>
      <c r="AD1120" s="1" t="s">
        <v>121</v>
      </c>
      <c r="AE1120" s="1" t="s">
        <v>69</v>
      </c>
      <c r="AG1120" s="1">
        <v>11541020</v>
      </c>
    </row>
    <row r="1121" spans="1:33" s="1" customFormat="1" x14ac:dyDescent="0.25">
      <c r="C1121" s="1" t="s">
        <v>6594</v>
      </c>
      <c r="D1121" s="1" t="s">
        <v>6538</v>
      </c>
      <c r="E1121" s="1" t="s">
        <v>6595</v>
      </c>
      <c r="F1121" s="13" t="s">
        <v>6952</v>
      </c>
      <c r="G1121" s="1" t="s">
        <v>6556</v>
      </c>
      <c r="H1121" s="1" t="s">
        <v>160</v>
      </c>
      <c r="I1121" s="1">
        <v>384</v>
      </c>
      <c r="J1121" s="1" t="s">
        <v>6225</v>
      </c>
      <c r="K1121" s="1" t="s">
        <v>204</v>
      </c>
      <c r="M1121" s="1" t="s">
        <v>62</v>
      </c>
      <c r="N1121" s="1" t="s">
        <v>48</v>
      </c>
      <c r="O1121" s="9">
        <v>6</v>
      </c>
      <c r="P1121" s="1">
        <f>ROUNDUP(960*(1-$F$3),2)</f>
        <v>960</v>
      </c>
      <c r="Q1121" s="1" t="s">
        <v>49</v>
      </c>
      <c r="R1121" s="1" t="s">
        <v>6596</v>
      </c>
      <c r="S1121" s="1" t="s">
        <v>6597</v>
      </c>
      <c r="T1121" s="9">
        <v>22</v>
      </c>
      <c r="U1121" s="1">
        <f>ROUNDUP(786.89*(1-$F$3),2)</f>
        <v>786.89</v>
      </c>
      <c r="V1121" s="1">
        <v>378</v>
      </c>
      <c r="Y1121" s="1" t="s">
        <v>6598</v>
      </c>
      <c r="Z1121" s="1" t="s">
        <v>76</v>
      </c>
      <c r="AA1121" s="12">
        <v>45751</v>
      </c>
      <c r="AB1121" s="1" t="s">
        <v>66</v>
      </c>
      <c r="AC1121" s="1" t="s">
        <v>143</v>
      </c>
      <c r="AD1121" s="1" t="s">
        <v>847</v>
      </c>
      <c r="AE1121" s="1" t="s">
        <v>69</v>
      </c>
      <c r="AG1121" s="1">
        <v>11645090</v>
      </c>
    </row>
    <row r="1122" spans="1:33" s="1" customFormat="1" x14ac:dyDescent="0.25">
      <c r="C1122" s="1" t="s">
        <v>6599</v>
      </c>
      <c r="D1122" s="1" t="s">
        <v>6600</v>
      </c>
      <c r="E1122" s="1" t="s">
        <v>6601</v>
      </c>
      <c r="F1122" s="13" t="s">
        <v>6952</v>
      </c>
      <c r="G1122" s="1" t="s">
        <v>6602</v>
      </c>
      <c r="H1122" s="1" t="s">
        <v>160</v>
      </c>
      <c r="I1122" s="1">
        <v>432</v>
      </c>
      <c r="J1122" s="1" t="s">
        <v>6225</v>
      </c>
      <c r="K1122" s="1" t="s">
        <v>204</v>
      </c>
      <c r="M1122" s="1" t="s">
        <v>62</v>
      </c>
      <c r="N1122" s="1" t="s">
        <v>139</v>
      </c>
      <c r="O1122" s="9">
        <v>10</v>
      </c>
      <c r="P1122" s="1">
        <f>ROUNDUP(890*(1-$F$3),2)</f>
        <v>890</v>
      </c>
      <c r="Q1122" s="1" t="s">
        <v>49</v>
      </c>
      <c r="R1122" s="1" t="s">
        <v>6603</v>
      </c>
      <c r="S1122" s="1" t="s">
        <v>6604</v>
      </c>
      <c r="T1122" s="9">
        <v>10</v>
      </c>
      <c r="U1122" s="1">
        <f>ROUNDUP(809.09*(1-$F$3),2)</f>
        <v>809.09</v>
      </c>
      <c r="V1122" s="1">
        <v>345</v>
      </c>
      <c r="Y1122" s="1" t="s">
        <v>6605</v>
      </c>
      <c r="Z1122" s="1" t="s">
        <v>53</v>
      </c>
      <c r="AA1122" s="12">
        <v>46078</v>
      </c>
      <c r="AB1122" s="1" t="s">
        <v>66</v>
      </c>
      <c r="AC1122" s="1" t="s">
        <v>120</v>
      </c>
      <c r="AD1122" s="1" t="s">
        <v>343</v>
      </c>
      <c r="AE1122" s="1" t="s">
        <v>69</v>
      </c>
      <c r="AG1122" s="1">
        <v>12027230</v>
      </c>
    </row>
    <row r="1123" spans="1:33" s="11" customFormat="1" x14ac:dyDescent="0.25">
      <c r="A1123" s="11" t="s">
        <v>6953</v>
      </c>
      <c r="C1123" s="11" t="s">
        <v>6606</v>
      </c>
      <c r="D1123" s="11" t="s">
        <v>6600</v>
      </c>
      <c r="E1123" s="11" t="s">
        <v>6607</v>
      </c>
      <c r="F1123" s="14" t="s">
        <v>6952</v>
      </c>
      <c r="G1123" s="11" t="s">
        <v>6608</v>
      </c>
      <c r="H1123" s="11" t="s">
        <v>160</v>
      </c>
      <c r="I1123" s="11">
        <v>416</v>
      </c>
      <c r="J1123" s="11" t="s">
        <v>6225</v>
      </c>
      <c r="K1123" s="11" t="s">
        <v>204</v>
      </c>
      <c r="M1123" s="11" t="s">
        <v>62</v>
      </c>
      <c r="N1123" s="11" t="s">
        <v>139</v>
      </c>
      <c r="O1123" s="23">
        <v>10</v>
      </c>
      <c r="P1123" s="11">
        <f>ROUNDUP(750*(1-$F$3),2)</f>
        <v>750</v>
      </c>
      <c r="Q1123" s="11" t="s">
        <v>49</v>
      </c>
      <c r="R1123" s="11" t="s">
        <v>6609</v>
      </c>
      <c r="S1123" s="11" t="s">
        <v>6610</v>
      </c>
      <c r="T1123" s="23">
        <v>22</v>
      </c>
      <c r="U1123" s="11">
        <f>ROUNDUP(614.75*(1-$F$3),2)</f>
        <v>614.75</v>
      </c>
      <c r="V1123" s="11">
        <v>337</v>
      </c>
      <c r="Y1123" s="11" t="s">
        <v>6611</v>
      </c>
      <c r="Z1123" s="11" t="s">
        <v>76</v>
      </c>
      <c r="AA1123" s="15">
        <v>46118</v>
      </c>
      <c r="AB1123" s="11" t="s">
        <v>66</v>
      </c>
      <c r="AC1123" s="11" t="s">
        <v>120</v>
      </c>
      <c r="AD1123" s="11" t="s">
        <v>343</v>
      </c>
      <c r="AE1123" s="11" t="s">
        <v>69</v>
      </c>
      <c r="AG1123" s="11">
        <v>12065040</v>
      </c>
    </row>
    <row r="1124" spans="1:33" s="1" customFormat="1" x14ac:dyDescent="0.25">
      <c r="C1124" s="1" t="s">
        <v>6612</v>
      </c>
      <c r="D1124" s="1" t="s">
        <v>6613</v>
      </c>
      <c r="E1124" s="1" t="s">
        <v>6614</v>
      </c>
      <c r="F1124" s="13" t="s">
        <v>6952</v>
      </c>
      <c r="G1124" s="1" t="s">
        <v>6615</v>
      </c>
      <c r="H1124" s="1" t="s">
        <v>160</v>
      </c>
      <c r="I1124" s="1">
        <v>496</v>
      </c>
      <c r="J1124" s="1" t="s">
        <v>6225</v>
      </c>
      <c r="K1124" s="1" t="s">
        <v>204</v>
      </c>
      <c r="M1124" s="1" t="s">
        <v>161</v>
      </c>
      <c r="N1124" s="1" t="s">
        <v>48</v>
      </c>
      <c r="O1124" s="9">
        <v>6</v>
      </c>
      <c r="P1124" s="1">
        <f>ROUNDUP(1150*(1-$F$3),2)</f>
        <v>1150</v>
      </c>
      <c r="Q1124" s="1" t="s">
        <v>49</v>
      </c>
      <c r="R1124" s="1" t="s">
        <v>6616</v>
      </c>
      <c r="S1124" s="1" t="s">
        <v>6617</v>
      </c>
      <c r="T1124" s="9">
        <v>10</v>
      </c>
      <c r="U1124" s="1">
        <f>ROUNDUP(1045.45*(1-$F$3),2)</f>
        <v>1045.45</v>
      </c>
      <c r="V1124" s="1">
        <v>506</v>
      </c>
      <c r="Y1124" s="1" t="s">
        <v>6613</v>
      </c>
      <c r="Z1124" s="1" t="s">
        <v>53</v>
      </c>
      <c r="AA1124" s="12">
        <v>45603</v>
      </c>
      <c r="AB1124" s="1" t="s">
        <v>66</v>
      </c>
      <c r="AC1124" s="1" t="s">
        <v>67</v>
      </c>
      <c r="AD1124" s="1" t="s">
        <v>180</v>
      </c>
      <c r="AE1124" s="1" t="s">
        <v>69</v>
      </c>
      <c r="AG1124" s="1">
        <v>11541030</v>
      </c>
    </row>
    <row r="1125" spans="1:33" s="1" customFormat="1" x14ac:dyDescent="0.25">
      <c r="C1125" s="1" t="s">
        <v>6618</v>
      </c>
      <c r="D1125" s="1" t="s">
        <v>6619</v>
      </c>
      <c r="E1125" s="1" t="s">
        <v>6620</v>
      </c>
      <c r="F1125" s="13" t="s">
        <v>6952</v>
      </c>
      <c r="G1125" s="1" t="s">
        <v>6621</v>
      </c>
      <c r="H1125" s="1" t="s">
        <v>61</v>
      </c>
      <c r="I1125" s="1">
        <v>448</v>
      </c>
      <c r="J1125" s="1" t="s">
        <v>6225</v>
      </c>
      <c r="K1125" s="1" t="s">
        <v>204</v>
      </c>
      <c r="M1125" s="1" t="s">
        <v>47</v>
      </c>
      <c r="N1125" s="1" t="s">
        <v>139</v>
      </c>
      <c r="O1125" s="9">
        <v>12</v>
      </c>
      <c r="P1125" s="1">
        <f>ROUNDUP(1100*(1-$F$3),2)</f>
        <v>1100</v>
      </c>
      <c r="Q1125" s="1" t="s">
        <v>49</v>
      </c>
      <c r="R1125" s="1" t="s">
        <v>6622</v>
      </c>
      <c r="S1125" s="1" t="s">
        <v>6623</v>
      </c>
      <c r="T1125" s="9">
        <v>22</v>
      </c>
      <c r="U1125" s="1">
        <f>ROUNDUP(901.64*(1-$F$3),2)</f>
        <v>901.64</v>
      </c>
      <c r="V1125" s="1">
        <v>392</v>
      </c>
      <c r="Y1125" s="1" t="s">
        <v>6624</v>
      </c>
      <c r="Z1125" s="1" t="s">
        <v>76</v>
      </c>
      <c r="AA1125" s="12">
        <v>45649</v>
      </c>
      <c r="AB1125" s="1" t="s">
        <v>66</v>
      </c>
      <c r="AC1125" s="1" t="s">
        <v>67</v>
      </c>
      <c r="AD1125" s="1" t="s">
        <v>180</v>
      </c>
      <c r="AE1125" s="1" t="s">
        <v>69</v>
      </c>
      <c r="AG1125" s="1">
        <v>11583120</v>
      </c>
    </row>
    <row r="1126" spans="1:33" s="1" customFormat="1" x14ac:dyDescent="0.25">
      <c r="C1126" s="1" t="s">
        <v>6625</v>
      </c>
      <c r="D1126" s="1" t="s">
        <v>6619</v>
      </c>
      <c r="E1126" s="1" t="s">
        <v>6626</v>
      </c>
      <c r="F1126" s="13" t="s">
        <v>6952</v>
      </c>
      <c r="G1126" s="1" t="s">
        <v>6627</v>
      </c>
      <c r="H1126" s="1" t="s">
        <v>61</v>
      </c>
      <c r="I1126" s="1">
        <v>512</v>
      </c>
      <c r="J1126" s="1" t="s">
        <v>6225</v>
      </c>
      <c r="K1126" s="1" t="s">
        <v>204</v>
      </c>
      <c r="M1126" s="1" t="s">
        <v>47</v>
      </c>
      <c r="N1126" s="1" t="s">
        <v>139</v>
      </c>
      <c r="O1126" s="9">
        <v>10</v>
      </c>
      <c r="P1126" s="1">
        <f>ROUNDUP(980*(1-$F$3),2)</f>
        <v>980</v>
      </c>
      <c r="Q1126" s="1" t="s">
        <v>49</v>
      </c>
      <c r="R1126" s="1" t="s">
        <v>6628</v>
      </c>
      <c r="S1126" s="1" t="s">
        <v>6629</v>
      </c>
      <c r="T1126" s="9">
        <v>22</v>
      </c>
      <c r="U1126" s="1">
        <f>ROUNDUP(803.28*(1-$F$3),2)</f>
        <v>803.28</v>
      </c>
      <c r="V1126" s="1">
        <v>453</v>
      </c>
      <c r="Y1126" s="1" t="s">
        <v>6630</v>
      </c>
      <c r="Z1126" s="1" t="s">
        <v>76</v>
      </c>
      <c r="AA1126" s="12">
        <v>45597</v>
      </c>
      <c r="AB1126" s="1" t="s">
        <v>66</v>
      </c>
      <c r="AC1126" s="1" t="s">
        <v>491</v>
      </c>
      <c r="AD1126" s="1" t="s">
        <v>492</v>
      </c>
      <c r="AE1126" s="1" t="s">
        <v>69</v>
      </c>
      <c r="AG1126" s="1">
        <v>11539530</v>
      </c>
    </row>
    <row r="1127" spans="1:33" s="1" customFormat="1" x14ac:dyDescent="0.25">
      <c r="C1127" s="1" t="s">
        <v>6631</v>
      </c>
      <c r="D1127" s="1" t="s">
        <v>6632</v>
      </c>
      <c r="E1127" s="1" t="s">
        <v>6633</v>
      </c>
      <c r="F1127" s="13" t="s">
        <v>6952</v>
      </c>
      <c r="G1127" s="1" t="s">
        <v>6634</v>
      </c>
      <c r="H1127" s="1" t="s">
        <v>1240</v>
      </c>
      <c r="I1127" s="1">
        <v>288</v>
      </c>
      <c r="J1127" s="1" t="s">
        <v>6225</v>
      </c>
      <c r="K1127" s="1" t="s">
        <v>204</v>
      </c>
      <c r="M1127" s="1" t="s">
        <v>62</v>
      </c>
      <c r="N1127" s="1" t="s">
        <v>139</v>
      </c>
      <c r="O1127" s="9">
        <v>16</v>
      </c>
      <c r="P1127" s="1">
        <f>ROUNDUP(590*(1-$F$3),2)</f>
        <v>590</v>
      </c>
      <c r="Q1127" s="1" t="s">
        <v>49</v>
      </c>
      <c r="R1127" s="1" t="s">
        <v>6635</v>
      </c>
      <c r="S1127" s="1" t="s">
        <v>6636</v>
      </c>
      <c r="T1127" s="9">
        <v>10</v>
      </c>
      <c r="U1127" s="1">
        <f>ROUNDUP(536.36*(1-$F$3),2)</f>
        <v>536.36</v>
      </c>
      <c r="V1127" s="1">
        <v>199</v>
      </c>
      <c r="Y1127" s="1" t="s">
        <v>6637</v>
      </c>
      <c r="Z1127" s="1" t="s">
        <v>53</v>
      </c>
      <c r="AA1127" s="12">
        <v>46057</v>
      </c>
      <c r="AB1127" s="1" t="s">
        <v>66</v>
      </c>
      <c r="AC1127" s="1" t="s">
        <v>67</v>
      </c>
      <c r="AD1127" s="1" t="s">
        <v>180</v>
      </c>
      <c r="AE1127" s="1" t="s">
        <v>69</v>
      </c>
      <c r="AG1127" s="1">
        <v>12007180</v>
      </c>
    </row>
    <row r="1128" spans="1:33" s="1" customFormat="1" x14ac:dyDescent="0.25">
      <c r="C1128" s="1" t="s">
        <v>6638</v>
      </c>
      <c r="D1128" s="1" t="s">
        <v>6632</v>
      </c>
      <c r="E1128" s="1" t="s">
        <v>6639</v>
      </c>
      <c r="F1128" s="13" t="s">
        <v>6952</v>
      </c>
      <c r="G1128" s="1" t="s">
        <v>6634</v>
      </c>
      <c r="H1128" s="1" t="s">
        <v>1240</v>
      </c>
      <c r="I1128" s="1">
        <v>304</v>
      </c>
      <c r="J1128" s="1" t="s">
        <v>6225</v>
      </c>
      <c r="K1128" s="1" t="s">
        <v>204</v>
      </c>
      <c r="M1128" s="1" t="s">
        <v>62</v>
      </c>
      <c r="N1128" s="1" t="s">
        <v>139</v>
      </c>
      <c r="O1128" s="9">
        <v>10</v>
      </c>
      <c r="P1128" s="1">
        <f>ROUNDUP(930*(1-$F$3),2)</f>
        <v>930</v>
      </c>
      <c r="Q1128" s="1" t="s">
        <v>49</v>
      </c>
      <c r="R1128" s="1" t="s">
        <v>6640</v>
      </c>
      <c r="S1128" s="1" t="s">
        <v>6641</v>
      </c>
      <c r="T1128" s="9">
        <v>10</v>
      </c>
      <c r="U1128" s="1">
        <f>ROUNDUP(845.45*(1-$F$3),2)</f>
        <v>845.45</v>
      </c>
      <c r="V1128" s="1">
        <v>196</v>
      </c>
      <c r="Y1128" s="1" t="s">
        <v>6642</v>
      </c>
      <c r="Z1128" s="1" t="s">
        <v>53</v>
      </c>
      <c r="AA1128" s="12">
        <v>45603</v>
      </c>
      <c r="AB1128" s="1" t="s">
        <v>66</v>
      </c>
      <c r="AC1128" s="1" t="s">
        <v>67</v>
      </c>
      <c r="AD1128" s="1" t="s">
        <v>180</v>
      </c>
      <c r="AE1128" s="1" t="s">
        <v>69</v>
      </c>
      <c r="AG1128" s="1">
        <v>11541420</v>
      </c>
    </row>
    <row r="1129" spans="1:33" s="1" customFormat="1" x14ac:dyDescent="0.25">
      <c r="C1129" s="1" t="s">
        <v>6643</v>
      </c>
      <c r="D1129" s="1" t="s">
        <v>6632</v>
      </c>
      <c r="E1129" s="1" t="s">
        <v>6644</v>
      </c>
      <c r="F1129" s="13" t="s">
        <v>6952</v>
      </c>
      <c r="G1129" s="1" t="s">
        <v>6634</v>
      </c>
      <c r="H1129" s="1" t="s">
        <v>1240</v>
      </c>
      <c r="I1129" s="1">
        <v>304</v>
      </c>
      <c r="J1129" s="1" t="s">
        <v>6225</v>
      </c>
      <c r="K1129" s="1" t="s">
        <v>204</v>
      </c>
      <c r="M1129" s="1" t="s">
        <v>62</v>
      </c>
      <c r="N1129" s="1" t="s">
        <v>139</v>
      </c>
      <c r="O1129" s="9">
        <v>20</v>
      </c>
      <c r="P1129" s="1">
        <f>ROUNDUP(890*(1-$F$3),2)</f>
        <v>890</v>
      </c>
      <c r="Q1129" s="1" t="s">
        <v>49</v>
      </c>
      <c r="R1129" s="1" t="s">
        <v>6645</v>
      </c>
      <c r="S1129" s="1" t="s">
        <v>6646</v>
      </c>
      <c r="T1129" s="9">
        <v>10</v>
      </c>
      <c r="U1129" s="1">
        <f>ROUNDUP(809.09*(1-$F$3),2)</f>
        <v>809.09</v>
      </c>
      <c r="V1129" s="1">
        <v>221</v>
      </c>
      <c r="Y1129" s="1" t="s">
        <v>6647</v>
      </c>
      <c r="Z1129" s="1" t="s">
        <v>53</v>
      </c>
      <c r="AA1129" s="12">
        <v>45601</v>
      </c>
      <c r="AB1129" s="1" t="s">
        <v>66</v>
      </c>
      <c r="AC1129" s="1" t="s">
        <v>67</v>
      </c>
      <c r="AD1129" s="1" t="s">
        <v>180</v>
      </c>
      <c r="AE1129" s="1" t="s">
        <v>69</v>
      </c>
      <c r="AG1129" s="1">
        <v>11540730</v>
      </c>
    </row>
    <row r="1130" spans="1:33" s="1" customFormat="1" x14ac:dyDescent="0.25">
      <c r="C1130" s="1" t="s">
        <v>6648</v>
      </c>
      <c r="D1130" s="1" t="s">
        <v>6632</v>
      </c>
      <c r="E1130" s="1" t="s">
        <v>6649</v>
      </c>
      <c r="F1130" s="13" t="s">
        <v>6952</v>
      </c>
      <c r="G1130" s="1" t="s">
        <v>6634</v>
      </c>
      <c r="H1130" s="1" t="s">
        <v>1240</v>
      </c>
      <c r="I1130" s="1">
        <v>304</v>
      </c>
      <c r="J1130" s="1" t="s">
        <v>6225</v>
      </c>
      <c r="K1130" s="1" t="s">
        <v>204</v>
      </c>
      <c r="M1130" s="1" t="s">
        <v>62</v>
      </c>
      <c r="N1130" s="1" t="s">
        <v>139</v>
      </c>
      <c r="O1130" s="9">
        <v>10</v>
      </c>
      <c r="P1130" s="1">
        <f>ROUNDUP(930*(1-$F$3),2)</f>
        <v>930</v>
      </c>
      <c r="Q1130" s="1" t="s">
        <v>49</v>
      </c>
      <c r="R1130" s="1" t="s">
        <v>6650</v>
      </c>
      <c r="S1130" s="1" t="s">
        <v>6651</v>
      </c>
      <c r="T1130" s="9">
        <v>10</v>
      </c>
      <c r="U1130" s="1">
        <f>ROUNDUP(845.45*(1-$F$3),2)</f>
        <v>845.45</v>
      </c>
      <c r="V1130" s="1">
        <v>211</v>
      </c>
      <c r="Y1130" s="1" t="s">
        <v>6652</v>
      </c>
      <c r="Z1130" s="1" t="s">
        <v>53</v>
      </c>
      <c r="AA1130" s="12">
        <v>45603</v>
      </c>
      <c r="AB1130" s="1" t="s">
        <v>66</v>
      </c>
      <c r="AC1130" s="1" t="s">
        <v>67</v>
      </c>
      <c r="AD1130" s="1" t="s">
        <v>180</v>
      </c>
      <c r="AE1130" s="1" t="s">
        <v>69</v>
      </c>
      <c r="AG1130" s="1">
        <v>11541410</v>
      </c>
    </row>
    <row r="1131" spans="1:33" s="1" customFormat="1" x14ac:dyDescent="0.25">
      <c r="C1131" s="1" t="s">
        <v>6653</v>
      </c>
      <c r="D1131" s="1" t="s">
        <v>6632</v>
      </c>
      <c r="E1131" s="1" t="s">
        <v>6654</v>
      </c>
      <c r="F1131" s="13" t="s">
        <v>6952</v>
      </c>
      <c r="G1131" s="1" t="s">
        <v>6634</v>
      </c>
      <c r="H1131" s="1" t="s">
        <v>1240</v>
      </c>
      <c r="I1131" s="1">
        <v>320</v>
      </c>
      <c r="J1131" s="1" t="s">
        <v>6225</v>
      </c>
      <c r="K1131" s="1" t="s">
        <v>204</v>
      </c>
      <c r="M1131" s="1" t="s">
        <v>62</v>
      </c>
      <c r="N1131" s="1" t="s">
        <v>139</v>
      </c>
      <c r="O1131" s="9">
        <v>14</v>
      </c>
      <c r="P1131" s="1">
        <f>ROUNDUP(890*(1-$F$3),2)</f>
        <v>890</v>
      </c>
      <c r="Q1131" s="1" t="s">
        <v>49</v>
      </c>
      <c r="R1131" s="1" t="s">
        <v>6655</v>
      </c>
      <c r="S1131" s="1" t="s">
        <v>6656</v>
      </c>
      <c r="T1131" s="9">
        <v>10</v>
      </c>
      <c r="U1131" s="1">
        <f>ROUNDUP(809.09*(1-$F$3),2)</f>
        <v>809.09</v>
      </c>
      <c r="V1131" s="1">
        <v>219</v>
      </c>
      <c r="Y1131" s="1" t="s">
        <v>6657</v>
      </c>
      <c r="Z1131" s="1" t="s">
        <v>53</v>
      </c>
      <c r="AA1131" s="12">
        <v>45601</v>
      </c>
      <c r="AB1131" s="1" t="s">
        <v>66</v>
      </c>
      <c r="AC1131" s="1" t="s">
        <v>67</v>
      </c>
      <c r="AD1131" s="1" t="s">
        <v>180</v>
      </c>
      <c r="AE1131" s="1" t="s">
        <v>69</v>
      </c>
      <c r="AG1131" s="1">
        <v>11540720</v>
      </c>
    </row>
    <row r="1132" spans="1:33" s="1" customFormat="1" x14ac:dyDescent="0.25">
      <c r="C1132" s="1" t="s">
        <v>6658</v>
      </c>
      <c r="D1132" s="1" t="s">
        <v>6632</v>
      </c>
      <c r="E1132" s="1" t="s">
        <v>6659</v>
      </c>
      <c r="F1132" s="13" t="s">
        <v>6952</v>
      </c>
      <c r="G1132" s="1" t="s">
        <v>6634</v>
      </c>
      <c r="H1132" s="1" t="s">
        <v>1240</v>
      </c>
      <c r="I1132" s="1">
        <v>320</v>
      </c>
      <c r="J1132" s="1" t="s">
        <v>6225</v>
      </c>
      <c r="K1132" s="1" t="s">
        <v>204</v>
      </c>
      <c r="M1132" s="1" t="s">
        <v>62</v>
      </c>
      <c r="N1132" s="1" t="s">
        <v>139</v>
      </c>
      <c r="O1132" s="9">
        <v>10</v>
      </c>
      <c r="P1132" s="1">
        <f>ROUNDUP(890*(1-$F$3),2)</f>
        <v>890</v>
      </c>
      <c r="Q1132" s="1" t="s">
        <v>49</v>
      </c>
      <c r="R1132" s="1" t="s">
        <v>6660</v>
      </c>
      <c r="S1132" s="1" t="s">
        <v>6661</v>
      </c>
      <c r="T1132" s="9">
        <v>10</v>
      </c>
      <c r="U1132" s="1">
        <f>ROUNDUP(809.09*(1-$F$3),2)</f>
        <v>809.09</v>
      </c>
      <c r="V1132" s="1">
        <v>204</v>
      </c>
      <c r="Y1132" s="1" t="s">
        <v>6662</v>
      </c>
      <c r="Z1132" s="1" t="s">
        <v>53</v>
      </c>
      <c r="AA1132" s="12">
        <v>45601</v>
      </c>
      <c r="AB1132" s="1" t="s">
        <v>66</v>
      </c>
      <c r="AC1132" s="1" t="s">
        <v>67</v>
      </c>
      <c r="AD1132" s="1" t="s">
        <v>180</v>
      </c>
      <c r="AE1132" s="1" t="s">
        <v>69</v>
      </c>
      <c r="AG1132" s="1">
        <v>11540740</v>
      </c>
    </row>
    <row r="1133" spans="1:33" s="1" customFormat="1" x14ac:dyDescent="0.25">
      <c r="C1133" s="1" t="s">
        <v>6663</v>
      </c>
      <c r="D1133" s="1" t="s">
        <v>6632</v>
      </c>
      <c r="E1133" s="1" t="s">
        <v>6664</v>
      </c>
      <c r="F1133" s="13" t="s">
        <v>6952</v>
      </c>
      <c r="G1133" s="1" t="s">
        <v>6634</v>
      </c>
      <c r="H1133" s="1" t="s">
        <v>1240</v>
      </c>
      <c r="I1133" s="1">
        <v>944</v>
      </c>
      <c r="J1133" s="1" t="s">
        <v>6225</v>
      </c>
      <c r="K1133" s="1" t="s">
        <v>204</v>
      </c>
      <c r="M1133" s="1" t="s">
        <v>62</v>
      </c>
      <c r="N1133" s="1" t="s">
        <v>139</v>
      </c>
      <c r="O1133" s="9"/>
      <c r="P1133" s="1">
        <f>ROUNDUP(1990*(1-$F$3),2)</f>
        <v>1990</v>
      </c>
      <c r="Q1133" s="1" t="s">
        <v>49</v>
      </c>
      <c r="R1133" s="1" t="s">
        <v>6665</v>
      </c>
      <c r="S1133" s="1" t="s">
        <v>6666</v>
      </c>
      <c r="T1133" s="9">
        <v>10</v>
      </c>
      <c r="U1133" s="1">
        <f>ROUNDUP(1809.09*(1-$F$3),2)</f>
        <v>1809.09</v>
      </c>
      <c r="V1133" s="1">
        <v>621</v>
      </c>
      <c r="Y1133" s="1" t="s">
        <v>6667</v>
      </c>
      <c r="Z1133" s="1" t="s">
        <v>53</v>
      </c>
      <c r="AA1133" s="12">
        <v>45611</v>
      </c>
      <c r="AB1133" s="1" t="s">
        <v>66</v>
      </c>
      <c r="AC1133" s="1" t="s">
        <v>67</v>
      </c>
      <c r="AD1133" s="1" t="s">
        <v>180</v>
      </c>
      <c r="AE1133" s="1" t="s">
        <v>69</v>
      </c>
      <c r="AG1133" s="1">
        <v>11565310</v>
      </c>
    </row>
    <row r="1134" spans="1:33" s="1" customFormat="1" x14ac:dyDescent="0.25">
      <c r="C1134" s="1" t="s">
        <v>6668</v>
      </c>
      <c r="D1134" s="1" t="s">
        <v>6632</v>
      </c>
      <c r="E1134" s="1" t="s">
        <v>6669</v>
      </c>
      <c r="F1134" s="13" t="s">
        <v>6952</v>
      </c>
      <c r="G1134" s="1" t="s">
        <v>6634</v>
      </c>
      <c r="H1134" s="1" t="s">
        <v>1240</v>
      </c>
      <c r="I1134" s="1">
        <v>3920</v>
      </c>
      <c r="J1134" s="1" t="s">
        <v>6225</v>
      </c>
      <c r="K1134" s="1" t="s">
        <v>204</v>
      </c>
      <c r="M1134" s="1" t="s">
        <v>47</v>
      </c>
      <c r="N1134" s="1" t="s">
        <v>139</v>
      </c>
      <c r="O1134" s="9"/>
      <c r="P1134" s="1">
        <f>ROUNDUP(7650*(1-$F$3),2)</f>
        <v>7650</v>
      </c>
      <c r="Q1134" s="1" t="s">
        <v>49</v>
      </c>
      <c r="R1134" s="1" t="s">
        <v>6670</v>
      </c>
      <c r="S1134" s="1" t="s">
        <v>6671</v>
      </c>
      <c r="T1134" s="9">
        <v>22</v>
      </c>
      <c r="U1134" s="1">
        <f>ROUNDUP(6270.49*(1-$F$3),2)</f>
        <v>6270.49</v>
      </c>
      <c r="V1134" s="1">
        <v>2688</v>
      </c>
      <c r="Y1134" s="1" t="s">
        <v>6672</v>
      </c>
      <c r="Z1134" s="1" t="s">
        <v>76</v>
      </c>
      <c r="AA1134" s="12">
        <v>45611</v>
      </c>
      <c r="AB1134" s="1" t="s">
        <v>66</v>
      </c>
      <c r="AC1134" s="1" t="s">
        <v>67</v>
      </c>
      <c r="AD1134" s="1" t="s">
        <v>180</v>
      </c>
      <c r="AE1134" s="1" t="s">
        <v>69</v>
      </c>
      <c r="AG1134" s="1">
        <v>11565490</v>
      </c>
    </row>
    <row r="1135" spans="1:33" s="1" customFormat="1" x14ac:dyDescent="0.25">
      <c r="C1135" s="1" t="s">
        <v>6673</v>
      </c>
      <c r="D1135" s="1" t="s">
        <v>6632</v>
      </c>
      <c r="E1135" s="1" t="s">
        <v>6674</v>
      </c>
      <c r="F1135" s="13" t="s">
        <v>6952</v>
      </c>
      <c r="G1135" s="1" t="s">
        <v>6634</v>
      </c>
      <c r="H1135" s="1" t="s">
        <v>1240</v>
      </c>
      <c r="I1135" s="1">
        <v>2048</v>
      </c>
      <c r="J1135" s="1" t="s">
        <v>6225</v>
      </c>
      <c r="K1135" s="1" t="s">
        <v>204</v>
      </c>
      <c r="M1135" s="1" t="s">
        <v>62</v>
      </c>
      <c r="N1135" s="1" t="s">
        <v>139</v>
      </c>
      <c r="O1135" s="9"/>
      <c r="P1135" s="1">
        <f>ROUNDUP(4999*(1-$F$3),2)</f>
        <v>4999</v>
      </c>
      <c r="Q1135" s="1" t="s">
        <v>49</v>
      </c>
      <c r="R1135" s="1" t="s">
        <v>6675</v>
      </c>
      <c r="S1135" s="1" t="s">
        <v>6676</v>
      </c>
      <c r="T1135" s="9">
        <v>22</v>
      </c>
      <c r="U1135" s="1">
        <f>ROUNDUP(4097.54*(1-$F$3),2)</f>
        <v>4097.54</v>
      </c>
      <c r="V1135" s="1">
        <v>1406</v>
      </c>
      <c r="Y1135" s="1" t="s">
        <v>6677</v>
      </c>
      <c r="Z1135" s="1" t="s">
        <v>76</v>
      </c>
      <c r="AA1135" s="12">
        <v>45603</v>
      </c>
      <c r="AB1135" s="1" t="s">
        <v>66</v>
      </c>
      <c r="AC1135" s="1" t="s">
        <v>67</v>
      </c>
      <c r="AD1135" s="1" t="s">
        <v>180</v>
      </c>
      <c r="AE1135" s="1" t="s">
        <v>69</v>
      </c>
      <c r="AG1135" s="1">
        <v>11541240</v>
      </c>
    </row>
    <row r="1136" spans="1:33" s="1" customFormat="1" x14ac:dyDescent="0.25">
      <c r="C1136" s="1" t="s">
        <v>6678</v>
      </c>
      <c r="D1136" s="1" t="s">
        <v>6632</v>
      </c>
      <c r="E1136" s="1" t="s">
        <v>6679</v>
      </c>
      <c r="F1136" s="13" t="s">
        <v>6952</v>
      </c>
      <c r="G1136" s="1" t="s">
        <v>6634</v>
      </c>
      <c r="H1136" s="1" t="s">
        <v>1240</v>
      </c>
      <c r="I1136" s="1">
        <v>320</v>
      </c>
      <c r="J1136" s="1" t="s">
        <v>6225</v>
      </c>
      <c r="K1136" s="1" t="s">
        <v>204</v>
      </c>
      <c r="M1136" s="1" t="s">
        <v>176</v>
      </c>
      <c r="N1136" s="1" t="s">
        <v>139</v>
      </c>
      <c r="O1136" s="9">
        <v>10</v>
      </c>
      <c r="P1136" s="1">
        <f>ROUNDUP(950*(1-$F$3),2)</f>
        <v>950</v>
      </c>
      <c r="Q1136" s="1" t="s">
        <v>49</v>
      </c>
      <c r="R1136" s="1" t="s">
        <v>6680</v>
      </c>
      <c r="S1136" s="1" t="s">
        <v>6681</v>
      </c>
      <c r="T1136" s="9">
        <v>10</v>
      </c>
      <c r="U1136" s="1">
        <f>ROUNDUP(863.64*(1-$F$3),2)</f>
        <v>863.64</v>
      </c>
      <c r="V1136" s="1">
        <v>199</v>
      </c>
      <c r="Y1136" s="1" t="s">
        <v>6682</v>
      </c>
      <c r="Z1136" s="1" t="s">
        <v>53</v>
      </c>
      <c r="AA1136" s="12">
        <v>45603</v>
      </c>
      <c r="AB1136" s="1" t="s">
        <v>66</v>
      </c>
      <c r="AC1136" s="1" t="s">
        <v>67</v>
      </c>
      <c r="AD1136" s="1" t="s">
        <v>180</v>
      </c>
      <c r="AE1136" s="1" t="s">
        <v>69</v>
      </c>
      <c r="AG1136" s="1">
        <v>11541160</v>
      </c>
    </row>
    <row r="1137" spans="1:33" s="1" customFormat="1" x14ac:dyDescent="0.25">
      <c r="C1137" s="1" t="s">
        <v>6683</v>
      </c>
      <c r="D1137" s="1" t="s">
        <v>6632</v>
      </c>
      <c r="E1137" s="1" t="s">
        <v>6684</v>
      </c>
      <c r="F1137" s="13" t="s">
        <v>6952</v>
      </c>
      <c r="G1137" s="1" t="s">
        <v>6634</v>
      </c>
      <c r="H1137" s="1" t="s">
        <v>1240</v>
      </c>
      <c r="I1137" s="1">
        <v>336</v>
      </c>
      <c r="J1137" s="1" t="s">
        <v>6225</v>
      </c>
      <c r="K1137" s="1" t="s">
        <v>204</v>
      </c>
      <c r="M1137" s="1" t="s">
        <v>62</v>
      </c>
      <c r="N1137" s="1" t="s">
        <v>139</v>
      </c>
      <c r="O1137" s="9">
        <v>20</v>
      </c>
      <c r="P1137" s="1">
        <f>ROUNDUP(890*(1-$F$3),2)</f>
        <v>890</v>
      </c>
      <c r="Q1137" s="1" t="s">
        <v>49</v>
      </c>
      <c r="R1137" s="1" t="s">
        <v>6685</v>
      </c>
      <c r="S1137" s="1" t="s">
        <v>6686</v>
      </c>
      <c r="T1137" s="9">
        <v>10</v>
      </c>
      <c r="U1137" s="1">
        <f>ROUNDUP(809.09*(1-$F$3),2)</f>
        <v>809.09</v>
      </c>
      <c r="V1137" s="1">
        <v>231</v>
      </c>
      <c r="Y1137" s="1" t="s">
        <v>6687</v>
      </c>
      <c r="Z1137" s="1" t="s">
        <v>53</v>
      </c>
      <c r="AA1137" s="12">
        <v>45603</v>
      </c>
      <c r="AB1137" s="1" t="s">
        <v>66</v>
      </c>
      <c r="AC1137" s="1" t="s">
        <v>67</v>
      </c>
      <c r="AD1137" s="1" t="s">
        <v>180</v>
      </c>
      <c r="AE1137" s="1" t="s">
        <v>69</v>
      </c>
      <c r="AG1137" s="1">
        <v>11541210</v>
      </c>
    </row>
    <row r="1138" spans="1:33" s="11" customFormat="1" x14ac:dyDescent="0.25">
      <c r="A1138" s="11" t="s">
        <v>6953</v>
      </c>
      <c r="C1138" s="11" t="s">
        <v>6688</v>
      </c>
      <c r="D1138" s="11" t="s">
        <v>6632</v>
      </c>
      <c r="E1138" s="11" t="s">
        <v>6689</v>
      </c>
      <c r="F1138" s="14" t="s">
        <v>6952</v>
      </c>
      <c r="G1138" s="11" t="s">
        <v>6634</v>
      </c>
      <c r="H1138" s="11" t="s">
        <v>1240</v>
      </c>
      <c r="I1138" s="11">
        <v>320</v>
      </c>
      <c r="J1138" s="11" t="s">
        <v>6225</v>
      </c>
      <c r="K1138" s="11" t="s">
        <v>204</v>
      </c>
      <c r="M1138" s="11" t="s">
        <v>62</v>
      </c>
      <c r="N1138" s="11" t="s">
        <v>139</v>
      </c>
      <c r="O1138" s="23">
        <v>20</v>
      </c>
      <c r="P1138" s="11">
        <f>ROUNDUP(950*(1-$F$3),2)</f>
        <v>950</v>
      </c>
      <c r="Q1138" s="11" t="s">
        <v>49</v>
      </c>
      <c r="R1138" s="11" t="s">
        <v>6690</v>
      </c>
      <c r="S1138" s="11" t="s">
        <v>6691</v>
      </c>
      <c r="T1138" s="23">
        <v>10</v>
      </c>
      <c r="U1138" s="11">
        <f>ROUNDUP(863.64*(1-$F$3),2)</f>
        <v>863.64</v>
      </c>
      <c r="V1138" s="11">
        <v>236</v>
      </c>
      <c r="Y1138" s="11" t="s">
        <v>6692</v>
      </c>
      <c r="Z1138" s="11" t="s">
        <v>53</v>
      </c>
      <c r="AA1138" s="15">
        <v>45603</v>
      </c>
      <c r="AB1138" s="11" t="s">
        <v>66</v>
      </c>
      <c r="AC1138" s="11" t="s">
        <v>67</v>
      </c>
      <c r="AD1138" s="11" t="s">
        <v>180</v>
      </c>
      <c r="AE1138" s="11" t="s">
        <v>69</v>
      </c>
      <c r="AG1138" s="11">
        <v>11541200</v>
      </c>
    </row>
    <row r="1139" spans="1:33" s="1" customFormat="1" x14ac:dyDescent="0.25">
      <c r="C1139" s="1" t="s">
        <v>6693</v>
      </c>
      <c r="D1139" s="1" t="s">
        <v>6632</v>
      </c>
      <c r="E1139" s="1" t="s">
        <v>6694</v>
      </c>
      <c r="F1139" s="13" t="s">
        <v>6952</v>
      </c>
      <c r="G1139" s="1" t="s">
        <v>6634</v>
      </c>
      <c r="H1139" s="1" t="s">
        <v>1240</v>
      </c>
      <c r="I1139" s="1">
        <v>352</v>
      </c>
      <c r="J1139" s="1" t="s">
        <v>6225</v>
      </c>
      <c r="K1139" s="1" t="s">
        <v>204</v>
      </c>
      <c r="M1139" s="1" t="s">
        <v>176</v>
      </c>
      <c r="N1139" s="1" t="s">
        <v>139</v>
      </c>
      <c r="O1139" s="9">
        <v>10</v>
      </c>
      <c r="P1139" s="1">
        <f>ROUNDUP(950*(1-$F$3),2)</f>
        <v>950</v>
      </c>
      <c r="Q1139" s="1" t="s">
        <v>49</v>
      </c>
      <c r="R1139" s="1" t="s">
        <v>6695</v>
      </c>
      <c r="S1139" s="1" t="s">
        <v>6696</v>
      </c>
      <c r="T1139" s="9">
        <v>10</v>
      </c>
      <c r="U1139" s="1">
        <f>ROUNDUP(863.64*(1-$F$3),2)</f>
        <v>863.64</v>
      </c>
      <c r="V1139" s="1">
        <v>218</v>
      </c>
      <c r="Y1139" s="1" t="s">
        <v>6697</v>
      </c>
      <c r="Z1139" s="1" t="s">
        <v>53</v>
      </c>
      <c r="AA1139" s="12">
        <v>45603</v>
      </c>
      <c r="AB1139" s="1" t="s">
        <v>66</v>
      </c>
      <c r="AC1139" s="1" t="s">
        <v>67</v>
      </c>
      <c r="AD1139" s="1" t="s">
        <v>180</v>
      </c>
      <c r="AE1139" s="1" t="s">
        <v>69</v>
      </c>
      <c r="AG1139" s="1">
        <v>11541180</v>
      </c>
    </row>
    <row r="1140" spans="1:33" s="1" customFormat="1" x14ac:dyDescent="0.25">
      <c r="C1140" s="1" t="s">
        <v>6698</v>
      </c>
      <c r="D1140" s="1" t="s">
        <v>6632</v>
      </c>
      <c r="E1140" s="1" t="s">
        <v>6699</v>
      </c>
      <c r="F1140" s="13" t="s">
        <v>6952</v>
      </c>
      <c r="G1140" s="1" t="s">
        <v>6634</v>
      </c>
      <c r="H1140" s="1" t="s">
        <v>1240</v>
      </c>
      <c r="I1140" s="1">
        <v>368</v>
      </c>
      <c r="J1140" s="1" t="s">
        <v>6225</v>
      </c>
      <c r="K1140" s="1" t="s">
        <v>204</v>
      </c>
      <c r="M1140" s="1" t="s">
        <v>176</v>
      </c>
      <c r="N1140" s="1" t="s">
        <v>139</v>
      </c>
      <c r="O1140" s="9">
        <v>8</v>
      </c>
      <c r="P1140" s="1">
        <f>ROUNDUP(950*(1-$F$3),2)</f>
        <v>950</v>
      </c>
      <c r="Q1140" s="1" t="s">
        <v>49</v>
      </c>
      <c r="R1140" s="1" t="s">
        <v>6700</v>
      </c>
      <c r="S1140" s="1" t="s">
        <v>6701</v>
      </c>
      <c r="T1140" s="9">
        <v>10</v>
      </c>
      <c r="U1140" s="1">
        <f>ROUNDUP(863.64*(1-$F$3),2)</f>
        <v>863.64</v>
      </c>
      <c r="V1140" s="1">
        <v>256</v>
      </c>
      <c r="Y1140" s="1" t="s">
        <v>6702</v>
      </c>
      <c r="Z1140" s="1" t="s">
        <v>53</v>
      </c>
      <c r="AA1140" s="12">
        <v>45603</v>
      </c>
      <c r="AB1140" s="1" t="s">
        <v>66</v>
      </c>
      <c r="AC1140" s="1" t="s">
        <v>67</v>
      </c>
      <c r="AD1140" s="1" t="s">
        <v>180</v>
      </c>
      <c r="AE1140" s="1" t="s">
        <v>69</v>
      </c>
      <c r="AG1140" s="1">
        <v>11541190</v>
      </c>
    </row>
    <row r="1141" spans="1:33" s="11" customFormat="1" x14ac:dyDescent="0.25">
      <c r="A1141" s="11" t="s">
        <v>6953</v>
      </c>
      <c r="C1141" s="11" t="s">
        <v>6703</v>
      </c>
      <c r="D1141" s="11" t="s">
        <v>6632</v>
      </c>
      <c r="E1141" s="11" t="s">
        <v>6704</v>
      </c>
      <c r="F1141" s="14" t="s">
        <v>6952</v>
      </c>
      <c r="G1141" s="11" t="s">
        <v>6634</v>
      </c>
      <c r="H1141" s="11" t="s">
        <v>1240</v>
      </c>
      <c r="I1141" s="11">
        <v>288</v>
      </c>
      <c r="J1141" s="11" t="s">
        <v>6225</v>
      </c>
      <c r="K1141" s="11" t="s">
        <v>204</v>
      </c>
      <c r="M1141" s="11" t="s">
        <v>62</v>
      </c>
      <c r="N1141" s="11" t="s">
        <v>139</v>
      </c>
      <c r="O1141" s="23">
        <v>12</v>
      </c>
      <c r="P1141" s="11">
        <f>ROUNDUP(590*(1-$F$3),2)</f>
        <v>590</v>
      </c>
      <c r="Q1141" s="11" t="s">
        <v>49</v>
      </c>
      <c r="R1141" s="11" t="s">
        <v>6705</v>
      </c>
      <c r="S1141" s="11" t="s">
        <v>6706</v>
      </c>
      <c r="T1141" s="23">
        <v>10</v>
      </c>
      <c r="U1141" s="11">
        <f>ROUNDUP(536.36*(1-$F$3),2)</f>
        <v>536.36</v>
      </c>
      <c r="V1141" s="11">
        <v>183</v>
      </c>
      <c r="Y1141" s="11" t="s">
        <v>6707</v>
      </c>
      <c r="Z1141" s="11" t="s">
        <v>53</v>
      </c>
      <c r="AA1141" s="15">
        <v>46131</v>
      </c>
      <c r="AB1141" s="11" t="s">
        <v>66</v>
      </c>
      <c r="AC1141" s="11" t="s">
        <v>67</v>
      </c>
      <c r="AD1141" s="11" t="s">
        <v>180</v>
      </c>
      <c r="AE1141" s="11" t="s">
        <v>69</v>
      </c>
      <c r="AG1141" s="11">
        <v>12082470</v>
      </c>
    </row>
    <row r="1142" spans="1:33" s="11" customFormat="1" x14ac:dyDescent="0.25">
      <c r="A1142" s="11" t="s">
        <v>6953</v>
      </c>
      <c r="C1142" s="11" t="s">
        <v>6708</v>
      </c>
      <c r="D1142" s="11" t="s">
        <v>6632</v>
      </c>
      <c r="E1142" s="11" t="s">
        <v>6709</v>
      </c>
      <c r="F1142" s="14" t="s">
        <v>6952</v>
      </c>
      <c r="G1142" s="11" t="s">
        <v>6634</v>
      </c>
      <c r="H1142" s="11" t="s">
        <v>1240</v>
      </c>
      <c r="I1142" s="11">
        <v>304</v>
      </c>
      <c r="J1142" s="11" t="s">
        <v>6225</v>
      </c>
      <c r="K1142" s="11" t="s">
        <v>204</v>
      </c>
      <c r="M1142" s="11" t="s">
        <v>62</v>
      </c>
      <c r="N1142" s="11" t="s">
        <v>139</v>
      </c>
      <c r="O1142" s="23">
        <v>10</v>
      </c>
      <c r="P1142" s="11">
        <f>ROUNDUP(590*(1-$F$3),2)</f>
        <v>590</v>
      </c>
      <c r="Q1142" s="11" t="s">
        <v>49</v>
      </c>
      <c r="R1142" s="11" t="s">
        <v>6710</v>
      </c>
      <c r="S1142" s="11" t="s">
        <v>6711</v>
      </c>
      <c r="T1142" s="23">
        <v>22</v>
      </c>
      <c r="U1142" s="11">
        <f>ROUNDUP(483.61*(1-$F$3),2)</f>
        <v>483.61</v>
      </c>
      <c r="V1142" s="11">
        <v>201</v>
      </c>
      <c r="Y1142" s="11" t="s">
        <v>6712</v>
      </c>
      <c r="Z1142" s="11" t="s">
        <v>76</v>
      </c>
      <c r="AA1142" s="15">
        <v>46097</v>
      </c>
      <c r="AB1142" s="11" t="s">
        <v>66</v>
      </c>
      <c r="AC1142" s="11" t="s">
        <v>67</v>
      </c>
      <c r="AD1142" s="11" t="s">
        <v>180</v>
      </c>
      <c r="AE1142" s="11" t="s">
        <v>69</v>
      </c>
      <c r="AG1142" s="11">
        <v>12041910</v>
      </c>
    </row>
    <row r="1143" spans="1:33" s="1" customFormat="1" x14ac:dyDescent="0.25">
      <c r="C1143" s="1" t="s">
        <v>6713</v>
      </c>
      <c r="D1143" s="1" t="s">
        <v>6632</v>
      </c>
      <c r="E1143" s="1" t="s">
        <v>6714</v>
      </c>
      <c r="F1143" s="13" t="s">
        <v>6952</v>
      </c>
      <c r="G1143" s="1" t="s">
        <v>6634</v>
      </c>
      <c r="H1143" s="1" t="s">
        <v>1240</v>
      </c>
      <c r="I1143" s="1">
        <v>608</v>
      </c>
      <c r="J1143" s="1" t="s">
        <v>6225</v>
      </c>
      <c r="K1143" s="1" t="s">
        <v>204</v>
      </c>
      <c r="M1143" s="1" t="s">
        <v>47</v>
      </c>
      <c r="N1143" s="1" t="s">
        <v>139</v>
      </c>
      <c r="O1143" s="9">
        <v>8</v>
      </c>
      <c r="P1143" s="1">
        <f>ROUNDUP(930*(1-$F$3),2)</f>
        <v>930</v>
      </c>
      <c r="Q1143" s="1" t="s">
        <v>49</v>
      </c>
      <c r="R1143" s="1" t="s">
        <v>6715</v>
      </c>
      <c r="S1143" s="1" t="s">
        <v>6716</v>
      </c>
      <c r="T1143" s="9">
        <v>22</v>
      </c>
      <c r="U1143" s="1">
        <f>ROUNDUP(762.3*(1-$F$3),2)</f>
        <v>762.3</v>
      </c>
      <c r="V1143" s="1">
        <v>411</v>
      </c>
      <c r="Y1143" s="1" t="s">
        <v>6717</v>
      </c>
      <c r="Z1143" s="1" t="s">
        <v>76</v>
      </c>
      <c r="AA1143" s="12">
        <v>45904</v>
      </c>
      <c r="AB1143" s="1" t="s">
        <v>66</v>
      </c>
      <c r="AC1143" s="1" t="s">
        <v>67</v>
      </c>
      <c r="AD1143" s="1" t="s">
        <v>180</v>
      </c>
      <c r="AE1143" s="1" t="s">
        <v>69</v>
      </c>
      <c r="AG1143" s="1">
        <v>11837310</v>
      </c>
    </row>
    <row r="1144" spans="1:33" s="1" customFormat="1" x14ac:dyDescent="0.25">
      <c r="C1144" s="1" t="s">
        <v>6718</v>
      </c>
      <c r="D1144" s="1" t="s">
        <v>6632</v>
      </c>
      <c r="E1144" s="1" t="s">
        <v>6719</v>
      </c>
      <c r="F1144" s="13" t="s">
        <v>6952</v>
      </c>
      <c r="G1144" s="1" t="s">
        <v>6634</v>
      </c>
      <c r="H1144" s="1" t="s">
        <v>1240</v>
      </c>
      <c r="I1144" s="1">
        <v>352</v>
      </c>
      <c r="J1144" s="1" t="s">
        <v>6225</v>
      </c>
      <c r="K1144" s="1" t="s">
        <v>204</v>
      </c>
      <c r="M1144" s="1" t="s">
        <v>176</v>
      </c>
      <c r="N1144" s="1" t="s">
        <v>139</v>
      </c>
      <c r="O1144" s="9">
        <v>10</v>
      </c>
      <c r="P1144" s="1">
        <f>ROUNDUP(950*(1-$F$3),2)</f>
        <v>950</v>
      </c>
      <c r="Q1144" s="1" t="s">
        <v>49</v>
      </c>
      <c r="R1144" s="1" t="s">
        <v>6720</v>
      </c>
      <c r="S1144" s="1" t="s">
        <v>6721</v>
      </c>
      <c r="T1144" s="9">
        <v>22</v>
      </c>
      <c r="U1144" s="1">
        <f>ROUNDUP(778.69*(1-$F$3),2)</f>
        <v>778.69</v>
      </c>
      <c r="V1144" s="1">
        <v>228</v>
      </c>
      <c r="Y1144" s="1" t="s">
        <v>6722</v>
      </c>
      <c r="Z1144" s="1" t="s">
        <v>76</v>
      </c>
      <c r="AA1144" s="12">
        <v>45603</v>
      </c>
      <c r="AB1144" s="1" t="s">
        <v>66</v>
      </c>
      <c r="AC1144" s="1" t="s">
        <v>67</v>
      </c>
      <c r="AD1144" s="1" t="s">
        <v>180</v>
      </c>
      <c r="AE1144" s="1" t="s">
        <v>69</v>
      </c>
      <c r="AG1144" s="1">
        <v>11541170</v>
      </c>
    </row>
    <row r="1145" spans="1:33" s="1" customFormat="1" x14ac:dyDescent="0.25">
      <c r="C1145" s="1" t="s">
        <v>6723</v>
      </c>
      <c r="D1145" s="1" t="s">
        <v>6632</v>
      </c>
      <c r="E1145" s="1" t="s">
        <v>6724</v>
      </c>
      <c r="F1145" s="13" t="s">
        <v>6952</v>
      </c>
      <c r="G1145" s="1" t="s">
        <v>6634</v>
      </c>
      <c r="H1145" s="1" t="s">
        <v>1240</v>
      </c>
      <c r="I1145" s="1">
        <v>320</v>
      </c>
      <c r="J1145" s="1" t="s">
        <v>6225</v>
      </c>
      <c r="K1145" s="1" t="s">
        <v>204</v>
      </c>
      <c r="M1145" s="1" t="s">
        <v>62</v>
      </c>
      <c r="N1145" s="1" t="s">
        <v>139</v>
      </c>
      <c r="O1145" s="9">
        <v>20</v>
      </c>
      <c r="P1145" s="1">
        <f>ROUNDUP(930*(1-$F$3),2)</f>
        <v>930</v>
      </c>
      <c r="Q1145" s="1" t="s">
        <v>49</v>
      </c>
      <c r="R1145" s="1" t="s">
        <v>6725</v>
      </c>
      <c r="S1145" s="1" t="s">
        <v>6726</v>
      </c>
      <c r="T1145" s="9">
        <v>10</v>
      </c>
      <c r="U1145" s="1">
        <f>ROUNDUP(845.45*(1-$F$3),2)</f>
        <v>845.45</v>
      </c>
      <c r="V1145" s="1">
        <v>199</v>
      </c>
      <c r="Y1145" s="1" t="s">
        <v>6727</v>
      </c>
      <c r="Z1145" s="1" t="s">
        <v>53</v>
      </c>
      <c r="AA1145" s="12">
        <v>45603</v>
      </c>
      <c r="AB1145" s="1" t="s">
        <v>66</v>
      </c>
      <c r="AC1145" s="1" t="s">
        <v>67</v>
      </c>
      <c r="AD1145" s="1" t="s">
        <v>180</v>
      </c>
      <c r="AE1145" s="1" t="s">
        <v>69</v>
      </c>
      <c r="AG1145" s="1">
        <v>11541400</v>
      </c>
    </row>
    <row r="1146" spans="1:33" s="1" customFormat="1" x14ac:dyDescent="0.25">
      <c r="C1146" s="1" t="s">
        <v>6728</v>
      </c>
      <c r="D1146" s="1" t="s">
        <v>6729</v>
      </c>
      <c r="E1146" s="1" t="s">
        <v>6730</v>
      </c>
      <c r="F1146" s="13" t="s">
        <v>6952</v>
      </c>
      <c r="G1146" s="1" t="s">
        <v>6731</v>
      </c>
      <c r="H1146" s="1" t="s">
        <v>6732</v>
      </c>
      <c r="I1146" s="1">
        <v>224</v>
      </c>
      <c r="J1146" s="1" t="s">
        <v>6225</v>
      </c>
      <c r="K1146" s="1" t="s">
        <v>204</v>
      </c>
      <c r="M1146" s="1" t="s">
        <v>47</v>
      </c>
      <c r="N1146" s="1" t="s">
        <v>48</v>
      </c>
      <c r="O1146" s="9">
        <v>7</v>
      </c>
      <c r="P1146" s="1">
        <f>ROUNDUP(1000*(1-$F$3),2)</f>
        <v>1000</v>
      </c>
      <c r="Q1146" s="1" t="s">
        <v>49</v>
      </c>
      <c r="R1146" s="1" t="s">
        <v>6733</v>
      </c>
      <c r="S1146" s="1" t="s">
        <v>6734</v>
      </c>
      <c r="T1146" s="9">
        <v>10</v>
      </c>
      <c r="U1146" s="1">
        <f>ROUNDUP(909.09*(1-$F$3),2)</f>
        <v>909.09</v>
      </c>
      <c r="V1146" s="1">
        <v>311</v>
      </c>
      <c r="Y1146" s="1" t="s">
        <v>6735</v>
      </c>
      <c r="Z1146" s="1" t="s">
        <v>53</v>
      </c>
      <c r="AA1146" s="12">
        <v>45713</v>
      </c>
      <c r="AB1146" s="1" t="s">
        <v>66</v>
      </c>
      <c r="AC1146" s="1" t="s">
        <v>143</v>
      </c>
      <c r="AD1146" s="1" t="s">
        <v>847</v>
      </c>
      <c r="AE1146" s="1" t="s">
        <v>69</v>
      </c>
      <c r="AG1146" s="1">
        <v>11673030</v>
      </c>
    </row>
    <row r="1147" spans="1:33" s="1" customFormat="1" x14ac:dyDescent="0.25">
      <c r="C1147" s="1" t="s">
        <v>6736</v>
      </c>
      <c r="D1147" s="1" t="s">
        <v>6737</v>
      </c>
      <c r="E1147" s="1" t="s">
        <v>6738</v>
      </c>
      <c r="F1147" s="13" t="s">
        <v>6952</v>
      </c>
      <c r="G1147" s="1" t="s">
        <v>6739</v>
      </c>
      <c r="H1147" s="1" t="s">
        <v>160</v>
      </c>
      <c r="I1147" s="1">
        <v>352</v>
      </c>
      <c r="J1147" s="1" t="s">
        <v>6225</v>
      </c>
      <c r="K1147" s="1" t="s">
        <v>204</v>
      </c>
      <c r="M1147" s="1" t="s">
        <v>176</v>
      </c>
      <c r="N1147" s="1" t="s">
        <v>48</v>
      </c>
      <c r="O1147" s="9">
        <v>6</v>
      </c>
      <c r="P1147" s="1">
        <f>ROUNDUP(1050*(1-$F$3),2)</f>
        <v>1050</v>
      </c>
      <c r="Q1147" s="1" t="s">
        <v>49</v>
      </c>
      <c r="R1147" s="1" t="s">
        <v>6740</v>
      </c>
      <c r="S1147" s="1" t="s">
        <v>6741</v>
      </c>
      <c r="T1147" s="9">
        <v>10</v>
      </c>
      <c r="U1147" s="1">
        <f>ROUNDUP(954.55*(1-$F$3),2)</f>
        <v>954.55</v>
      </c>
      <c r="V1147" s="1">
        <v>341</v>
      </c>
      <c r="Y1147" s="1" t="s">
        <v>6742</v>
      </c>
      <c r="Z1147" s="1" t="s">
        <v>53</v>
      </c>
      <c r="AA1147" s="12">
        <v>45607</v>
      </c>
      <c r="AB1147" s="1" t="s">
        <v>66</v>
      </c>
      <c r="AC1147" s="1" t="s">
        <v>67</v>
      </c>
      <c r="AD1147" s="1" t="s">
        <v>180</v>
      </c>
      <c r="AE1147" s="1" t="s">
        <v>69</v>
      </c>
      <c r="AG1147" s="1">
        <v>11558680</v>
      </c>
    </row>
    <row r="1148" spans="1:33" s="1" customFormat="1" x14ac:dyDescent="0.25">
      <c r="C1148" s="1" t="s">
        <v>6743</v>
      </c>
      <c r="D1148" s="1" t="s">
        <v>6737</v>
      </c>
      <c r="E1148" s="1" t="s">
        <v>6744</v>
      </c>
      <c r="F1148" s="13" t="s">
        <v>6952</v>
      </c>
      <c r="G1148" s="1" t="s">
        <v>6745</v>
      </c>
      <c r="H1148" s="1" t="s">
        <v>3779</v>
      </c>
      <c r="I1148" s="1">
        <v>288</v>
      </c>
      <c r="J1148" s="1" t="s">
        <v>6225</v>
      </c>
      <c r="K1148" s="1" t="s">
        <v>204</v>
      </c>
      <c r="M1148" s="1" t="s">
        <v>47</v>
      </c>
      <c r="N1148" s="1" t="s">
        <v>48</v>
      </c>
      <c r="O1148" s="9">
        <v>12</v>
      </c>
      <c r="P1148" s="1">
        <f>ROUNDUP(930*(1-$F$3),2)</f>
        <v>930</v>
      </c>
      <c r="Q1148" s="1" t="s">
        <v>49</v>
      </c>
      <c r="R1148" s="1" t="s">
        <v>6746</v>
      </c>
      <c r="S1148" s="1" t="s">
        <v>6747</v>
      </c>
      <c r="T1148" s="9">
        <v>22</v>
      </c>
      <c r="U1148" s="1">
        <f>ROUNDUP(762.3*(1-$F$3),2)</f>
        <v>762.3</v>
      </c>
      <c r="V1148" s="1">
        <v>284</v>
      </c>
      <c r="Y1148" s="1" t="s">
        <v>6748</v>
      </c>
      <c r="Z1148" s="1" t="s">
        <v>76</v>
      </c>
      <c r="AA1148" s="12">
        <v>45726</v>
      </c>
      <c r="AB1148" s="1" t="s">
        <v>66</v>
      </c>
      <c r="AC1148" s="1" t="s">
        <v>143</v>
      </c>
      <c r="AD1148" s="1" t="s">
        <v>144</v>
      </c>
      <c r="AE1148" s="1" t="s">
        <v>69</v>
      </c>
      <c r="AG1148" s="1">
        <v>11667500</v>
      </c>
    </row>
    <row r="1149" spans="1:33" s="1" customFormat="1" x14ac:dyDescent="0.25">
      <c r="C1149" s="1" t="s">
        <v>6749</v>
      </c>
      <c r="D1149" s="1" t="s">
        <v>6737</v>
      </c>
      <c r="E1149" s="1" t="s">
        <v>6750</v>
      </c>
      <c r="F1149" s="13" t="s">
        <v>6952</v>
      </c>
      <c r="G1149" s="1" t="s">
        <v>6751</v>
      </c>
      <c r="H1149" s="1" t="s">
        <v>160</v>
      </c>
      <c r="I1149" s="1">
        <v>480</v>
      </c>
      <c r="J1149" s="1" t="s">
        <v>6225</v>
      </c>
      <c r="K1149" s="1" t="s">
        <v>204</v>
      </c>
      <c r="M1149" s="1" t="s">
        <v>47</v>
      </c>
      <c r="N1149" s="1" t="s">
        <v>48</v>
      </c>
      <c r="O1149" s="9">
        <v>5</v>
      </c>
      <c r="P1149" s="1">
        <f>ROUNDUP(1160*(1-$F$3),2)</f>
        <v>1160</v>
      </c>
      <c r="Q1149" s="1" t="s">
        <v>49</v>
      </c>
      <c r="R1149" s="1" t="s">
        <v>6752</v>
      </c>
      <c r="S1149" s="1" t="s">
        <v>6753</v>
      </c>
      <c r="T1149" s="9">
        <v>22</v>
      </c>
      <c r="U1149" s="1">
        <f>ROUNDUP(950.82*(1-$F$3),2)</f>
        <v>950.82</v>
      </c>
      <c r="V1149" s="1">
        <v>498</v>
      </c>
      <c r="Y1149" s="1" t="s">
        <v>6754</v>
      </c>
      <c r="Z1149" s="1" t="s">
        <v>76</v>
      </c>
      <c r="AA1149" s="12">
        <v>45929</v>
      </c>
      <c r="AB1149" s="1" t="s">
        <v>66</v>
      </c>
      <c r="AC1149" s="1" t="s">
        <v>491</v>
      </c>
      <c r="AD1149" s="1" t="s">
        <v>492</v>
      </c>
      <c r="AE1149" s="1" t="s">
        <v>69</v>
      </c>
      <c r="AG1149" s="1">
        <v>11833930</v>
      </c>
    </row>
    <row r="1150" spans="1:33" s="1" customFormat="1" x14ac:dyDescent="0.25">
      <c r="C1150" s="1" t="s">
        <v>6755</v>
      </c>
      <c r="D1150" s="1" t="s">
        <v>6737</v>
      </c>
      <c r="E1150" s="1" t="s">
        <v>6756</v>
      </c>
      <c r="F1150" s="13" t="s">
        <v>6952</v>
      </c>
      <c r="G1150" s="1" t="s">
        <v>6757</v>
      </c>
      <c r="H1150" s="1" t="s">
        <v>160</v>
      </c>
      <c r="I1150" s="1">
        <v>320</v>
      </c>
      <c r="J1150" s="1" t="s">
        <v>6225</v>
      </c>
      <c r="K1150" s="1" t="s">
        <v>204</v>
      </c>
      <c r="M1150" s="1" t="s">
        <v>176</v>
      </c>
      <c r="N1150" s="1" t="s">
        <v>48</v>
      </c>
      <c r="O1150" s="9">
        <v>16</v>
      </c>
      <c r="P1150" s="1">
        <f>ROUNDUP(920*(1-$F$3),2)</f>
        <v>920</v>
      </c>
      <c r="Q1150" s="1" t="s">
        <v>49</v>
      </c>
      <c r="R1150" s="1" t="s">
        <v>6758</v>
      </c>
      <c r="S1150" s="1" t="s">
        <v>6759</v>
      </c>
      <c r="T1150" s="9">
        <v>10</v>
      </c>
      <c r="U1150" s="1">
        <f>ROUNDUP(836.36*(1-$F$3),2)</f>
        <v>836.36</v>
      </c>
      <c r="V1150" s="1">
        <v>351</v>
      </c>
      <c r="Y1150" s="1" t="s">
        <v>6760</v>
      </c>
      <c r="Z1150" s="1" t="s">
        <v>53</v>
      </c>
      <c r="AA1150" s="12">
        <v>45603</v>
      </c>
      <c r="AB1150" s="1" t="s">
        <v>66</v>
      </c>
      <c r="AC1150" s="1" t="s">
        <v>77</v>
      </c>
      <c r="AD1150" s="1" t="s">
        <v>78</v>
      </c>
      <c r="AE1150" s="1" t="s">
        <v>69</v>
      </c>
      <c r="AG1150" s="1">
        <v>11541370</v>
      </c>
    </row>
    <row r="1151" spans="1:33" s="1" customFormat="1" x14ac:dyDescent="0.25">
      <c r="C1151" s="1" t="s">
        <v>6761</v>
      </c>
      <c r="D1151" s="1" t="s">
        <v>6737</v>
      </c>
      <c r="E1151" s="1" t="s">
        <v>6762</v>
      </c>
      <c r="F1151" s="13" t="s">
        <v>6952</v>
      </c>
      <c r="G1151" s="1" t="s">
        <v>6763</v>
      </c>
      <c r="H1151" s="1" t="s">
        <v>160</v>
      </c>
      <c r="I1151" s="1">
        <v>464</v>
      </c>
      <c r="J1151" s="1" t="s">
        <v>6225</v>
      </c>
      <c r="K1151" s="1" t="s">
        <v>204</v>
      </c>
      <c r="M1151" s="1" t="s">
        <v>176</v>
      </c>
      <c r="N1151" s="1" t="s">
        <v>48</v>
      </c>
      <c r="O1151" s="9">
        <v>12</v>
      </c>
      <c r="P1151" s="1">
        <f>ROUNDUP(1120*(1-$F$3),2)</f>
        <v>1120</v>
      </c>
      <c r="Q1151" s="1" t="s">
        <v>49</v>
      </c>
      <c r="R1151" s="1" t="s">
        <v>6764</v>
      </c>
      <c r="S1151" s="1" t="s">
        <v>6765</v>
      </c>
      <c r="T1151" s="9">
        <v>22</v>
      </c>
      <c r="U1151" s="1">
        <f>ROUNDUP(918.03*(1-$F$3),2)</f>
        <v>918.03</v>
      </c>
      <c r="V1151" s="1">
        <v>475</v>
      </c>
      <c r="Y1151" s="1" t="s">
        <v>6766</v>
      </c>
      <c r="Z1151" s="1" t="s">
        <v>76</v>
      </c>
      <c r="AA1151" s="12">
        <v>45603</v>
      </c>
      <c r="AB1151" s="1" t="s">
        <v>66</v>
      </c>
      <c r="AC1151" s="1" t="s">
        <v>143</v>
      </c>
      <c r="AD1151" s="1" t="s">
        <v>847</v>
      </c>
      <c r="AE1151" s="1" t="s">
        <v>69</v>
      </c>
      <c r="AG1151" s="1">
        <v>11541150</v>
      </c>
    </row>
    <row r="1152" spans="1:33" s="1" customFormat="1" x14ac:dyDescent="0.25">
      <c r="C1152" s="1" t="s">
        <v>6767</v>
      </c>
      <c r="D1152" s="1" t="s">
        <v>6737</v>
      </c>
      <c r="E1152" s="1" t="s">
        <v>6768</v>
      </c>
      <c r="F1152" s="13" t="s">
        <v>6952</v>
      </c>
      <c r="G1152" s="1" t="s">
        <v>6769</v>
      </c>
      <c r="H1152" s="1" t="s">
        <v>6732</v>
      </c>
      <c r="I1152" s="1">
        <v>224</v>
      </c>
      <c r="J1152" s="1" t="s">
        <v>6225</v>
      </c>
      <c r="K1152" s="1" t="s">
        <v>204</v>
      </c>
      <c r="M1152" s="1" t="s">
        <v>47</v>
      </c>
      <c r="N1152" s="1" t="s">
        <v>48</v>
      </c>
      <c r="O1152" s="9">
        <v>12</v>
      </c>
      <c r="P1152" s="1">
        <f>ROUNDUP(870*(1-$F$3),2)</f>
        <v>870</v>
      </c>
      <c r="Q1152" s="1" t="s">
        <v>49</v>
      </c>
      <c r="R1152" s="1" t="s">
        <v>6770</v>
      </c>
      <c r="S1152" s="1" t="s">
        <v>6771</v>
      </c>
      <c r="T1152" s="9">
        <v>10</v>
      </c>
      <c r="U1152" s="1">
        <f>ROUNDUP(790.91*(1-$F$3),2)</f>
        <v>790.91</v>
      </c>
      <c r="V1152" s="1">
        <v>275</v>
      </c>
      <c r="Y1152" s="1" t="s">
        <v>6772</v>
      </c>
      <c r="Z1152" s="1" t="s">
        <v>53</v>
      </c>
      <c r="AA1152" s="12">
        <v>45833</v>
      </c>
      <c r="AB1152" s="1" t="s">
        <v>66</v>
      </c>
      <c r="AC1152" s="1" t="s">
        <v>143</v>
      </c>
      <c r="AD1152" s="1" t="s">
        <v>144</v>
      </c>
      <c r="AE1152" s="1" t="s">
        <v>69</v>
      </c>
      <c r="AG1152" s="1">
        <v>11746770</v>
      </c>
    </row>
    <row r="1153" spans="1:33" s="1" customFormat="1" x14ac:dyDescent="0.25">
      <c r="C1153" s="1" t="s">
        <v>6773</v>
      </c>
      <c r="D1153" s="1" t="s">
        <v>6774</v>
      </c>
      <c r="E1153" s="1" t="s">
        <v>6775</v>
      </c>
      <c r="F1153" s="13" t="s">
        <v>6952</v>
      </c>
      <c r="G1153" s="1" t="s">
        <v>6776</v>
      </c>
      <c r="H1153" s="1" t="s">
        <v>61</v>
      </c>
      <c r="I1153" s="1">
        <v>512</v>
      </c>
      <c r="J1153" s="1" t="s">
        <v>6225</v>
      </c>
      <c r="K1153" s="1" t="s">
        <v>204</v>
      </c>
      <c r="M1153" s="1" t="s">
        <v>47</v>
      </c>
      <c r="N1153" s="1" t="s">
        <v>48</v>
      </c>
      <c r="O1153" s="9">
        <v>10</v>
      </c>
      <c r="P1153" s="1">
        <f>ROUNDUP(1160*(1-$F$3),2)</f>
        <v>1160</v>
      </c>
      <c r="Q1153" s="1" t="s">
        <v>49</v>
      </c>
      <c r="R1153" s="1" t="s">
        <v>6777</v>
      </c>
      <c r="S1153" s="1" t="s">
        <v>6778</v>
      </c>
      <c r="T1153" s="9">
        <v>22</v>
      </c>
      <c r="U1153" s="1">
        <f>ROUNDUP(950.82*(1-$F$3),2)</f>
        <v>950.82</v>
      </c>
      <c r="V1153" s="1">
        <v>619</v>
      </c>
      <c r="Y1153" s="1" t="s">
        <v>6779</v>
      </c>
      <c r="Z1153" s="1" t="s">
        <v>76</v>
      </c>
      <c r="AA1153" s="12">
        <v>45734</v>
      </c>
      <c r="AB1153" s="1" t="s">
        <v>66</v>
      </c>
      <c r="AC1153" s="1" t="s">
        <v>120</v>
      </c>
      <c r="AD1153" s="1" t="s">
        <v>121</v>
      </c>
      <c r="AE1153" s="1" t="s">
        <v>69</v>
      </c>
      <c r="AG1153" s="1">
        <v>11680590</v>
      </c>
    </row>
    <row r="1154" spans="1:33" s="1" customFormat="1" x14ac:dyDescent="0.25">
      <c r="C1154" s="1" t="s">
        <v>6780</v>
      </c>
      <c r="D1154" s="1" t="s">
        <v>6774</v>
      </c>
      <c r="E1154" s="1" t="s">
        <v>6781</v>
      </c>
      <c r="F1154" s="13" t="s">
        <v>6952</v>
      </c>
      <c r="G1154" s="1" t="s">
        <v>6776</v>
      </c>
      <c r="H1154" s="1" t="s">
        <v>61</v>
      </c>
      <c r="I1154" s="1">
        <v>480</v>
      </c>
      <c r="J1154" s="1" t="s">
        <v>6225</v>
      </c>
      <c r="K1154" s="1" t="s">
        <v>204</v>
      </c>
      <c r="M1154" s="1" t="s">
        <v>62</v>
      </c>
      <c r="N1154" s="1" t="s">
        <v>48</v>
      </c>
      <c r="O1154" s="9">
        <v>12</v>
      </c>
      <c r="P1154" s="1">
        <f>ROUNDUP(1110*(1-$F$3),2)</f>
        <v>1110</v>
      </c>
      <c r="Q1154" s="1" t="s">
        <v>49</v>
      </c>
      <c r="R1154" s="1" t="s">
        <v>6782</v>
      </c>
      <c r="S1154" s="1" t="s">
        <v>6783</v>
      </c>
      <c r="T1154" s="9">
        <v>22</v>
      </c>
      <c r="U1154" s="1">
        <f>ROUNDUP(909.84*(1-$F$3),2)</f>
        <v>909.84</v>
      </c>
      <c r="V1154" s="1">
        <v>587</v>
      </c>
      <c r="Y1154" s="1" t="s">
        <v>6784</v>
      </c>
      <c r="Z1154" s="1" t="s">
        <v>76</v>
      </c>
      <c r="AA1154" s="12">
        <v>45977</v>
      </c>
      <c r="AB1154" s="1" t="s">
        <v>66</v>
      </c>
      <c r="AC1154" s="1" t="s">
        <v>120</v>
      </c>
      <c r="AD1154" s="1" t="s">
        <v>121</v>
      </c>
      <c r="AE1154" s="1" t="s">
        <v>69</v>
      </c>
      <c r="AG1154" s="1">
        <v>11927010</v>
      </c>
    </row>
    <row r="1155" spans="1:33" s="1" customFormat="1" x14ac:dyDescent="0.25">
      <c r="C1155" s="1" t="s">
        <v>6785</v>
      </c>
      <c r="D1155" s="1" t="s">
        <v>6786</v>
      </c>
      <c r="E1155" s="1" t="s">
        <v>6787</v>
      </c>
      <c r="F1155" s="13" t="s">
        <v>6952</v>
      </c>
      <c r="G1155" s="1" t="s">
        <v>6788</v>
      </c>
      <c r="H1155" s="1" t="s">
        <v>160</v>
      </c>
      <c r="I1155" s="1">
        <v>512</v>
      </c>
      <c r="J1155" s="1" t="s">
        <v>6225</v>
      </c>
      <c r="K1155" s="1" t="s">
        <v>204</v>
      </c>
      <c r="M1155" s="1" t="s">
        <v>47</v>
      </c>
      <c r="N1155" s="1" t="s">
        <v>48</v>
      </c>
      <c r="O1155" s="9">
        <v>8</v>
      </c>
      <c r="P1155" s="1">
        <f>ROUNDUP(1490*(1-$F$3),2)</f>
        <v>1490</v>
      </c>
      <c r="Q1155" s="1" t="s">
        <v>49</v>
      </c>
      <c r="R1155" s="1" t="s">
        <v>6789</v>
      </c>
      <c r="S1155" s="1" t="s">
        <v>6790</v>
      </c>
      <c r="T1155" s="9">
        <v>22</v>
      </c>
      <c r="U1155" s="1">
        <f>ROUNDUP(1221.31*(1-$F$3),2)</f>
        <v>1221.31</v>
      </c>
      <c r="V1155" s="1">
        <v>515</v>
      </c>
      <c r="Y1155" s="1" t="s">
        <v>6791</v>
      </c>
      <c r="Z1155" s="1" t="s">
        <v>76</v>
      </c>
      <c r="AA1155" s="12">
        <v>45622</v>
      </c>
      <c r="AB1155" s="1" t="s">
        <v>66</v>
      </c>
      <c r="AC1155" s="1" t="s">
        <v>67</v>
      </c>
      <c r="AD1155" s="1" t="s">
        <v>670</v>
      </c>
      <c r="AE1155" s="1" t="s">
        <v>69</v>
      </c>
      <c r="AG1155" s="1">
        <v>11575830</v>
      </c>
    </row>
    <row r="1156" spans="1:33" s="1" customFormat="1" x14ac:dyDescent="0.25">
      <c r="C1156" s="1" t="s">
        <v>6792</v>
      </c>
      <c r="D1156" s="1" t="s">
        <v>6786</v>
      </c>
      <c r="E1156" s="1" t="s">
        <v>6793</v>
      </c>
      <c r="F1156" s="13" t="s">
        <v>6952</v>
      </c>
      <c r="G1156" s="1" t="s">
        <v>6794</v>
      </c>
      <c r="H1156" s="1" t="s">
        <v>160</v>
      </c>
      <c r="I1156" s="1">
        <v>416</v>
      </c>
      <c r="J1156" s="1" t="s">
        <v>6225</v>
      </c>
      <c r="K1156" s="1" t="s">
        <v>204</v>
      </c>
      <c r="M1156" s="1" t="s">
        <v>62</v>
      </c>
      <c r="N1156" s="1" t="s">
        <v>48</v>
      </c>
      <c r="O1156" s="9">
        <v>5</v>
      </c>
      <c r="P1156" s="1">
        <f>ROUNDUP(1250*(1-$F$3),2)</f>
        <v>1250</v>
      </c>
      <c r="Q1156" s="1" t="s">
        <v>49</v>
      </c>
      <c r="R1156" s="1" t="s">
        <v>6795</v>
      </c>
      <c r="S1156" s="1" t="s">
        <v>6796</v>
      </c>
      <c r="T1156" s="9">
        <v>10</v>
      </c>
      <c r="U1156" s="1">
        <f>ROUNDUP(1136.36*(1-$F$3),2)</f>
        <v>1136.3599999999999</v>
      </c>
      <c r="V1156" s="1">
        <v>418</v>
      </c>
      <c r="Y1156" s="1" t="s">
        <v>6797</v>
      </c>
      <c r="Z1156" s="1" t="s">
        <v>53</v>
      </c>
      <c r="AA1156" s="12">
        <v>45603</v>
      </c>
      <c r="AB1156" s="1" t="s">
        <v>66</v>
      </c>
      <c r="AC1156" s="1" t="s">
        <v>67</v>
      </c>
      <c r="AD1156" s="1" t="s">
        <v>670</v>
      </c>
      <c r="AE1156" s="1" t="s">
        <v>69</v>
      </c>
      <c r="AG1156" s="1">
        <v>11541260</v>
      </c>
    </row>
    <row r="1157" spans="1:33" s="1" customFormat="1" x14ac:dyDescent="0.25">
      <c r="C1157" s="1" t="s">
        <v>6798</v>
      </c>
      <c r="D1157" s="1" t="s">
        <v>6786</v>
      </c>
      <c r="E1157" s="1" t="s">
        <v>6799</v>
      </c>
      <c r="F1157" s="13" t="s">
        <v>6952</v>
      </c>
      <c r="G1157" s="1" t="s">
        <v>6371</v>
      </c>
      <c r="H1157" s="1" t="s">
        <v>160</v>
      </c>
      <c r="I1157" s="1">
        <v>400</v>
      </c>
      <c r="J1157" s="1" t="s">
        <v>6225</v>
      </c>
      <c r="K1157" s="1" t="s">
        <v>204</v>
      </c>
      <c r="M1157" s="1" t="s">
        <v>161</v>
      </c>
      <c r="N1157" s="1" t="s">
        <v>48</v>
      </c>
      <c r="O1157" s="9">
        <v>8</v>
      </c>
      <c r="P1157" s="1">
        <f>ROUNDUP(1300*(1-$F$3),2)</f>
        <v>1300</v>
      </c>
      <c r="Q1157" s="1" t="s">
        <v>49</v>
      </c>
      <c r="R1157" s="1" t="s">
        <v>6800</v>
      </c>
      <c r="S1157" s="1" t="s">
        <v>6801</v>
      </c>
      <c r="T1157" s="9">
        <v>22</v>
      </c>
      <c r="U1157" s="1">
        <f>ROUNDUP(1065.57*(1-$F$3),2)</f>
        <v>1065.57</v>
      </c>
      <c r="V1157" s="1">
        <v>426</v>
      </c>
      <c r="Y1157" s="1" t="s">
        <v>6802</v>
      </c>
      <c r="Z1157" s="1" t="s">
        <v>76</v>
      </c>
      <c r="AA1157" s="12">
        <v>45603</v>
      </c>
      <c r="AB1157" s="1" t="s">
        <v>66</v>
      </c>
      <c r="AC1157" s="1" t="s">
        <v>143</v>
      </c>
      <c r="AD1157" s="1" t="s">
        <v>144</v>
      </c>
      <c r="AE1157" s="1" t="s">
        <v>69</v>
      </c>
      <c r="AG1157" s="1">
        <v>11541050</v>
      </c>
    </row>
    <row r="1158" spans="1:33" s="1" customFormat="1" x14ac:dyDescent="0.25">
      <c r="C1158" s="1" t="s">
        <v>6803</v>
      </c>
      <c r="D1158" s="1" t="s">
        <v>6786</v>
      </c>
      <c r="E1158" s="1" t="s">
        <v>6804</v>
      </c>
      <c r="F1158" s="13" t="s">
        <v>6952</v>
      </c>
      <c r="G1158" s="1" t="s">
        <v>6805</v>
      </c>
      <c r="H1158" s="1" t="s">
        <v>61</v>
      </c>
      <c r="I1158" s="1">
        <v>768</v>
      </c>
      <c r="J1158" s="1" t="s">
        <v>6225</v>
      </c>
      <c r="K1158" s="1" t="s">
        <v>204</v>
      </c>
      <c r="M1158" s="1" t="s">
        <v>176</v>
      </c>
      <c r="N1158" s="1" t="s">
        <v>139</v>
      </c>
      <c r="O1158" s="9">
        <v>4</v>
      </c>
      <c r="P1158" s="1">
        <f>ROUNDUP(1290*(1-$F$3),2)</f>
        <v>1290</v>
      </c>
      <c r="Q1158" s="1" t="s">
        <v>49</v>
      </c>
      <c r="R1158" s="1" t="s">
        <v>6806</v>
      </c>
      <c r="S1158" s="1" t="s">
        <v>6807</v>
      </c>
      <c r="T1158" s="9">
        <v>10</v>
      </c>
      <c r="U1158" s="1">
        <f>ROUNDUP(1172.73*(1-$F$3),2)</f>
        <v>1172.73</v>
      </c>
      <c r="V1158" s="1">
        <v>629</v>
      </c>
      <c r="Y1158" s="1" t="s">
        <v>6808</v>
      </c>
      <c r="Z1158" s="1" t="s">
        <v>53</v>
      </c>
      <c r="AA1158" s="12">
        <v>45613</v>
      </c>
      <c r="AB1158" s="1" t="s">
        <v>66</v>
      </c>
      <c r="AC1158" s="1" t="s">
        <v>67</v>
      </c>
      <c r="AD1158" s="1" t="s">
        <v>670</v>
      </c>
      <c r="AE1158" s="1" t="s">
        <v>69</v>
      </c>
      <c r="AG1158" s="1">
        <v>11567380</v>
      </c>
    </row>
    <row r="1159" spans="1:33" s="11" customFormat="1" x14ac:dyDescent="0.25">
      <c r="A1159" s="11" t="s">
        <v>6953</v>
      </c>
      <c r="C1159" s="11" t="s">
        <v>6809</v>
      </c>
      <c r="D1159" s="11" t="s">
        <v>6786</v>
      </c>
      <c r="E1159" s="11" t="s">
        <v>6810</v>
      </c>
      <c r="F1159" s="14" t="s">
        <v>6952</v>
      </c>
      <c r="G1159" s="11" t="s">
        <v>6805</v>
      </c>
      <c r="H1159" s="11" t="s">
        <v>61</v>
      </c>
      <c r="I1159" s="11">
        <v>720</v>
      </c>
      <c r="J1159" s="11" t="s">
        <v>6225</v>
      </c>
      <c r="K1159" s="11" t="s">
        <v>204</v>
      </c>
      <c r="M1159" s="11" t="s">
        <v>62</v>
      </c>
      <c r="N1159" s="11" t="s">
        <v>139</v>
      </c>
      <c r="O1159" s="23">
        <v>6</v>
      </c>
      <c r="P1159" s="11">
        <f>ROUNDUP(1190*(1-$F$3),2)</f>
        <v>1190</v>
      </c>
      <c r="Q1159" s="11" t="s">
        <v>49</v>
      </c>
      <c r="R1159" s="11" t="s">
        <v>6811</v>
      </c>
      <c r="S1159" s="11" t="s">
        <v>6812</v>
      </c>
      <c r="T1159" s="23">
        <v>22</v>
      </c>
      <c r="U1159" s="11">
        <f>ROUNDUP(975.41*(1-$F$3),2)</f>
        <v>975.41</v>
      </c>
      <c r="V1159" s="11">
        <v>648</v>
      </c>
      <c r="Y1159" s="11" t="s">
        <v>6813</v>
      </c>
      <c r="Z1159" s="11" t="s">
        <v>76</v>
      </c>
      <c r="AA1159" s="15">
        <v>46098</v>
      </c>
      <c r="AB1159" s="11" t="s">
        <v>66</v>
      </c>
      <c r="AC1159" s="11" t="s">
        <v>67</v>
      </c>
      <c r="AD1159" s="11" t="s">
        <v>670</v>
      </c>
      <c r="AE1159" s="11" t="s">
        <v>69</v>
      </c>
      <c r="AG1159" s="11">
        <v>12026990</v>
      </c>
    </row>
    <row r="1160" spans="1:33" s="1" customFormat="1" x14ac:dyDescent="0.25">
      <c r="C1160" s="1" t="s">
        <v>6814</v>
      </c>
      <c r="D1160" s="1" t="s">
        <v>6815</v>
      </c>
      <c r="E1160" s="1" t="s">
        <v>6816</v>
      </c>
      <c r="F1160" s="13" t="s">
        <v>6952</v>
      </c>
      <c r="G1160" s="1" t="s">
        <v>6817</v>
      </c>
      <c r="H1160" s="1" t="s">
        <v>160</v>
      </c>
      <c r="I1160" s="1">
        <v>352</v>
      </c>
      <c r="J1160" s="1" t="s">
        <v>6225</v>
      </c>
      <c r="K1160" s="1" t="s">
        <v>204</v>
      </c>
      <c r="M1160" s="1" t="s">
        <v>47</v>
      </c>
      <c r="N1160" s="1" t="s">
        <v>48</v>
      </c>
      <c r="O1160" s="9">
        <v>14</v>
      </c>
      <c r="P1160" s="1">
        <f>ROUNDUP(1140*(1-$F$3),2)</f>
        <v>1140</v>
      </c>
      <c r="Q1160" s="1" t="s">
        <v>49</v>
      </c>
      <c r="R1160" s="1" t="s">
        <v>6818</v>
      </c>
      <c r="S1160" s="1" t="s">
        <v>6819</v>
      </c>
      <c r="T1160" s="9">
        <v>10</v>
      </c>
      <c r="U1160" s="1">
        <f>ROUNDUP(1036.36*(1-$F$3),2)</f>
        <v>1036.3599999999999</v>
      </c>
      <c r="V1160" s="1">
        <v>384</v>
      </c>
      <c r="Y1160" s="1" t="s">
        <v>6820</v>
      </c>
      <c r="Z1160" s="1" t="s">
        <v>53</v>
      </c>
      <c r="AA1160" s="12">
        <v>45620</v>
      </c>
      <c r="AB1160" s="1" t="s">
        <v>66</v>
      </c>
      <c r="AC1160" s="1" t="s">
        <v>67</v>
      </c>
      <c r="AD1160" s="1" t="s">
        <v>180</v>
      </c>
      <c r="AE1160" s="1" t="s">
        <v>69</v>
      </c>
      <c r="AG1160" s="1">
        <v>11575250</v>
      </c>
    </row>
    <row r="1161" spans="1:33" s="1" customFormat="1" x14ac:dyDescent="0.25">
      <c r="C1161" s="1" t="s">
        <v>6821</v>
      </c>
      <c r="D1161" s="1" t="s">
        <v>6815</v>
      </c>
      <c r="E1161" s="1" t="s">
        <v>6822</v>
      </c>
      <c r="F1161" s="13" t="s">
        <v>6952</v>
      </c>
      <c r="G1161" s="1" t="s">
        <v>6823</v>
      </c>
      <c r="H1161" s="1" t="s">
        <v>61</v>
      </c>
      <c r="I1161" s="1">
        <v>512</v>
      </c>
      <c r="J1161" s="1" t="s">
        <v>6225</v>
      </c>
      <c r="K1161" s="1" t="s">
        <v>204</v>
      </c>
      <c r="M1161" s="1" t="s">
        <v>47</v>
      </c>
      <c r="N1161" s="1" t="s">
        <v>48</v>
      </c>
      <c r="O1161" s="9">
        <v>6</v>
      </c>
      <c r="P1161" s="1">
        <f>ROUNDUP(1350*(1-$F$3),2)</f>
        <v>1350</v>
      </c>
      <c r="Q1161" s="1" t="s">
        <v>49</v>
      </c>
      <c r="R1161" s="1" t="s">
        <v>6824</v>
      </c>
      <c r="S1161" s="1" t="s">
        <v>6825</v>
      </c>
      <c r="T1161" s="9">
        <v>10</v>
      </c>
      <c r="U1161" s="1">
        <f>ROUNDUP(1227.27*(1-$F$3),2)</f>
        <v>1227.27</v>
      </c>
      <c r="V1161" s="1">
        <v>615</v>
      </c>
      <c r="Y1161" s="1" t="s">
        <v>6826</v>
      </c>
      <c r="Z1161" s="1" t="s">
        <v>53</v>
      </c>
      <c r="AA1161" s="12">
        <v>45672</v>
      </c>
      <c r="AB1161" s="1" t="s">
        <v>66</v>
      </c>
      <c r="AC1161" s="1" t="s">
        <v>67</v>
      </c>
      <c r="AD1161" s="1" t="s">
        <v>180</v>
      </c>
      <c r="AE1161" s="1" t="s">
        <v>69</v>
      </c>
      <c r="AG1161" s="1">
        <v>11592320</v>
      </c>
    </row>
    <row r="1162" spans="1:33" s="1" customFormat="1" x14ac:dyDescent="0.25">
      <c r="C1162" s="1" t="s">
        <v>6827</v>
      </c>
      <c r="D1162" s="1" t="s">
        <v>6815</v>
      </c>
      <c r="E1162" s="1" t="s">
        <v>6828</v>
      </c>
      <c r="F1162" s="13" t="s">
        <v>6952</v>
      </c>
      <c r="G1162" s="1" t="s">
        <v>6829</v>
      </c>
      <c r="H1162" s="1" t="s">
        <v>160</v>
      </c>
      <c r="I1162" s="1">
        <v>288</v>
      </c>
      <c r="J1162" s="1" t="s">
        <v>6225</v>
      </c>
      <c r="K1162" s="1" t="s">
        <v>204</v>
      </c>
      <c r="M1162" s="1" t="s">
        <v>62</v>
      </c>
      <c r="N1162" s="1" t="s">
        <v>48</v>
      </c>
      <c r="O1162" s="9">
        <v>16</v>
      </c>
      <c r="P1162" s="1">
        <f>ROUNDUP(960*(1-$F$3),2)</f>
        <v>960</v>
      </c>
      <c r="Q1162" s="1" t="s">
        <v>49</v>
      </c>
      <c r="R1162" s="1" t="s">
        <v>6830</v>
      </c>
      <c r="S1162" s="1" t="s">
        <v>6831</v>
      </c>
      <c r="T1162" s="9">
        <v>10</v>
      </c>
      <c r="U1162" s="1">
        <f>ROUNDUP(872.73*(1-$F$3),2)</f>
        <v>872.73</v>
      </c>
      <c r="V1162" s="1">
        <v>317</v>
      </c>
      <c r="Y1162" s="1" t="s">
        <v>6832</v>
      </c>
      <c r="Z1162" s="1" t="s">
        <v>53</v>
      </c>
      <c r="AA1162" s="12">
        <v>45988</v>
      </c>
      <c r="AB1162" s="1" t="s">
        <v>66</v>
      </c>
      <c r="AC1162" s="1" t="s">
        <v>67</v>
      </c>
      <c r="AD1162" s="1" t="s">
        <v>180</v>
      </c>
      <c r="AE1162" s="1" t="s">
        <v>69</v>
      </c>
      <c r="AG1162" s="1">
        <v>11935880</v>
      </c>
    </row>
    <row r="1163" spans="1:33" s="1" customFormat="1" x14ac:dyDescent="0.25">
      <c r="C1163" s="1" t="s">
        <v>6833</v>
      </c>
      <c r="D1163" s="1" t="s">
        <v>6815</v>
      </c>
      <c r="E1163" s="1" t="s">
        <v>6834</v>
      </c>
      <c r="F1163" s="13" t="s">
        <v>6952</v>
      </c>
      <c r="G1163" s="1" t="s">
        <v>6829</v>
      </c>
      <c r="H1163" s="1" t="s">
        <v>160</v>
      </c>
      <c r="I1163" s="1">
        <v>288</v>
      </c>
      <c r="J1163" s="1" t="s">
        <v>6225</v>
      </c>
      <c r="K1163" s="1" t="s">
        <v>204</v>
      </c>
      <c r="M1163" s="1" t="s">
        <v>47</v>
      </c>
      <c r="N1163" s="1" t="s">
        <v>48</v>
      </c>
      <c r="O1163" s="9">
        <v>12</v>
      </c>
      <c r="P1163" s="1">
        <f>ROUNDUP(870*(1-$F$3),2)</f>
        <v>870</v>
      </c>
      <c r="Q1163" s="1" t="s">
        <v>49</v>
      </c>
      <c r="R1163" s="1" t="s">
        <v>6835</v>
      </c>
      <c r="S1163" s="1" t="s">
        <v>6836</v>
      </c>
      <c r="T1163" s="9">
        <v>10</v>
      </c>
      <c r="U1163" s="1">
        <f>ROUNDUP(790.91*(1-$F$3),2)</f>
        <v>790.91</v>
      </c>
      <c r="V1163" s="1">
        <v>313</v>
      </c>
      <c r="Y1163" s="1" t="s">
        <v>6837</v>
      </c>
      <c r="Z1163" s="1" t="s">
        <v>53</v>
      </c>
      <c r="AA1163" s="12">
        <v>45635</v>
      </c>
      <c r="AB1163" s="1" t="s">
        <v>66</v>
      </c>
      <c r="AC1163" s="1" t="s">
        <v>67</v>
      </c>
      <c r="AD1163" s="1" t="s">
        <v>180</v>
      </c>
      <c r="AE1163" s="1" t="s">
        <v>69</v>
      </c>
      <c r="AG1163" s="1">
        <v>11591730</v>
      </c>
    </row>
    <row r="1164" spans="1:33" s="1" customFormat="1" x14ac:dyDescent="0.25">
      <c r="C1164" s="1" t="s">
        <v>6838</v>
      </c>
      <c r="D1164" s="1" t="s">
        <v>6815</v>
      </c>
      <c r="E1164" s="1" t="s">
        <v>6839</v>
      </c>
      <c r="F1164" s="13" t="s">
        <v>6952</v>
      </c>
      <c r="G1164" s="1" t="s">
        <v>6840</v>
      </c>
      <c r="H1164" s="1" t="s">
        <v>160</v>
      </c>
      <c r="I1164" s="1">
        <v>336</v>
      </c>
      <c r="J1164" s="1" t="s">
        <v>6225</v>
      </c>
      <c r="K1164" s="1" t="s">
        <v>204</v>
      </c>
      <c r="M1164" s="1" t="s">
        <v>62</v>
      </c>
      <c r="N1164" s="1" t="s">
        <v>48</v>
      </c>
      <c r="O1164" s="9">
        <v>16</v>
      </c>
      <c r="P1164" s="1">
        <f>ROUNDUP(850*(1-$F$3),2)</f>
        <v>850</v>
      </c>
      <c r="Q1164" s="1" t="s">
        <v>49</v>
      </c>
      <c r="R1164" s="1" t="s">
        <v>6841</v>
      </c>
      <c r="S1164" s="1" t="s">
        <v>6842</v>
      </c>
      <c r="T1164" s="9">
        <v>10</v>
      </c>
      <c r="U1164" s="1">
        <f>ROUNDUP(772.73*(1-$F$3),2)</f>
        <v>772.73</v>
      </c>
      <c r="V1164" s="1">
        <v>376</v>
      </c>
      <c r="Y1164" s="1" t="s">
        <v>6843</v>
      </c>
      <c r="Z1164" s="1" t="s">
        <v>53</v>
      </c>
      <c r="AA1164" s="12">
        <v>46075</v>
      </c>
      <c r="AB1164" s="1" t="s">
        <v>66</v>
      </c>
      <c r="AC1164" s="1" t="s">
        <v>67</v>
      </c>
      <c r="AD1164" s="1" t="s">
        <v>165</v>
      </c>
      <c r="AE1164" s="1" t="s">
        <v>69</v>
      </c>
      <c r="AG1164" s="1">
        <v>12026520</v>
      </c>
    </row>
    <row r="1165" spans="1:33" s="1" customFormat="1" x14ac:dyDescent="0.25">
      <c r="C1165" s="1" t="s">
        <v>6844</v>
      </c>
      <c r="D1165" s="1" t="s">
        <v>6845</v>
      </c>
      <c r="E1165" s="1" t="s">
        <v>6846</v>
      </c>
      <c r="F1165" s="13" t="s">
        <v>6952</v>
      </c>
      <c r="G1165" s="1" t="s">
        <v>6847</v>
      </c>
      <c r="H1165" s="1" t="s">
        <v>61</v>
      </c>
      <c r="I1165" s="1">
        <v>432</v>
      </c>
      <c r="J1165" s="1" t="s">
        <v>6225</v>
      </c>
      <c r="K1165" s="1" t="s">
        <v>204</v>
      </c>
      <c r="M1165" s="1" t="s">
        <v>62</v>
      </c>
      <c r="N1165" s="1" t="s">
        <v>48</v>
      </c>
      <c r="O1165" s="9">
        <v>12</v>
      </c>
      <c r="P1165" s="1">
        <f>ROUNDUP(1190*(1-$F$3),2)</f>
        <v>1190</v>
      </c>
      <c r="Q1165" s="1" t="s">
        <v>49</v>
      </c>
      <c r="R1165" s="1" t="s">
        <v>6848</v>
      </c>
      <c r="S1165" s="1" t="s">
        <v>6849</v>
      </c>
      <c r="T1165" s="9">
        <v>22</v>
      </c>
      <c r="U1165" s="1">
        <f>ROUNDUP(975.41*(1-$F$3),2)</f>
        <v>975.41</v>
      </c>
      <c r="V1165" s="1">
        <v>523</v>
      </c>
      <c r="Y1165" s="1" t="s">
        <v>6850</v>
      </c>
      <c r="Z1165" s="1" t="s">
        <v>76</v>
      </c>
      <c r="AA1165" s="12">
        <v>46075</v>
      </c>
      <c r="AB1165" s="1" t="s">
        <v>66</v>
      </c>
      <c r="AC1165" s="1" t="s">
        <v>67</v>
      </c>
      <c r="AD1165" s="1" t="s">
        <v>165</v>
      </c>
      <c r="AE1165" s="1" t="s">
        <v>69</v>
      </c>
      <c r="AG1165" s="1">
        <v>12026570</v>
      </c>
    </row>
    <row r="1166" spans="1:33" s="1" customFormat="1" x14ac:dyDescent="0.25">
      <c r="C1166" s="1" t="s">
        <v>6851</v>
      </c>
      <c r="D1166" s="1" t="s">
        <v>6845</v>
      </c>
      <c r="E1166" s="1" t="s">
        <v>6852</v>
      </c>
      <c r="F1166" s="13" t="s">
        <v>6952</v>
      </c>
      <c r="G1166" s="1" t="s">
        <v>6853</v>
      </c>
      <c r="H1166" s="1" t="s">
        <v>160</v>
      </c>
      <c r="I1166" s="1">
        <v>480</v>
      </c>
      <c r="J1166" s="1" t="s">
        <v>6225</v>
      </c>
      <c r="K1166" s="1" t="s">
        <v>204</v>
      </c>
      <c r="M1166" s="1" t="s">
        <v>47</v>
      </c>
      <c r="N1166" s="1" t="s">
        <v>48</v>
      </c>
      <c r="O1166" s="9">
        <v>8</v>
      </c>
      <c r="P1166" s="1">
        <f>ROUNDUP(1000*(1-$F$3),2)</f>
        <v>1000</v>
      </c>
      <c r="Q1166" s="1" t="s">
        <v>49</v>
      </c>
      <c r="R1166" s="1" t="s">
        <v>6854</v>
      </c>
      <c r="S1166" s="1" t="s">
        <v>6855</v>
      </c>
      <c r="T1166" s="9">
        <v>22</v>
      </c>
      <c r="U1166" s="1">
        <f>ROUNDUP(819.67*(1-$F$3),2)</f>
        <v>819.67</v>
      </c>
      <c r="V1166" s="1">
        <v>463</v>
      </c>
      <c r="Y1166" s="1" t="s">
        <v>6856</v>
      </c>
      <c r="Z1166" s="1" t="s">
        <v>76</v>
      </c>
      <c r="AA1166" s="12">
        <v>45918</v>
      </c>
      <c r="AB1166" s="1" t="s">
        <v>66</v>
      </c>
      <c r="AC1166" s="1" t="s">
        <v>67</v>
      </c>
      <c r="AD1166" s="1" t="s">
        <v>165</v>
      </c>
      <c r="AE1166" s="1" t="s">
        <v>69</v>
      </c>
      <c r="AG1166" s="1">
        <v>11848730</v>
      </c>
    </row>
    <row r="1167" spans="1:33" s="11" customFormat="1" x14ac:dyDescent="0.25">
      <c r="A1167" s="11" t="s">
        <v>6953</v>
      </c>
      <c r="C1167" s="11" t="s">
        <v>6857</v>
      </c>
      <c r="D1167" s="11" t="s">
        <v>6845</v>
      </c>
      <c r="E1167" s="11" t="s">
        <v>6858</v>
      </c>
      <c r="F1167" s="14" t="s">
        <v>6952</v>
      </c>
      <c r="G1167" s="11" t="s">
        <v>6859</v>
      </c>
      <c r="H1167" s="11" t="s">
        <v>160</v>
      </c>
      <c r="I1167" s="11">
        <v>432</v>
      </c>
      <c r="J1167" s="11" t="s">
        <v>6225</v>
      </c>
      <c r="K1167" s="11" t="s">
        <v>204</v>
      </c>
      <c r="M1167" s="11" t="s">
        <v>62</v>
      </c>
      <c r="N1167" s="11" t="s">
        <v>48</v>
      </c>
      <c r="O1167" s="23">
        <v>10</v>
      </c>
      <c r="P1167" s="11">
        <f>ROUNDUP(1250*(1-$F$3),2)</f>
        <v>1250</v>
      </c>
      <c r="Q1167" s="11" t="s">
        <v>49</v>
      </c>
      <c r="R1167" s="11" t="s">
        <v>6860</v>
      </c>
      <c r="S1167" s="11" t="s">
        <v>6861</v>
      </c>
      <c r="T1167" s="23">
        <v>10</v>
      </c>
      <c r="U1167" s="11">
        <f>ROUNDUP(1136.36*(1-$F$3),2)</f>
        <v>1136.3599999999999</v>
      </c>
      <c r="V1167" s="11">
        <v>465</v>
      </c>
      <c r="Y1167" s="11" t="s">
        <v>6862</v>
      </c>
      <c r="Z1167" s="11" t="s">
        <v>53</v>
      </c>
      <c r="AA1167" s="15">
        <v>45603</v>
      </c>
      <c r="AB1167" s="11" t="s">
        <v>66</v>
      </c>
      <c r="AC1167" s="11" t="s">
        <v>67</v>
      </c>
      <c r="AD1167" s="11" t="s">
        <v>165</v>
      </c>
      <c r="AE1167" s="11" t="s">
        <v>69</v>
      </c>
      <c r="AG1167" s="11">
        <v>11541090</v>
      </c>
    </row>
    <row r="1168" spans="1:33" s="1" customFormat="1" x14ac:dyDescent="0.25">
      <c r="C1168" s="1" t="s">
        <v>6863</v>
      </c>
      <c r="D1168" s="1" t="s">
        <v>6845</v>
      </c>
      <c r="E1168" s="1" t="s">
        <v>6864</v>
      </c>
      <c r="F1168" s="13" t="s">
        <v>6952</v>
      </c>
      <c r="G1168" s="1" t="s">
        <v>6865</v>
      </c>
      <c r="H1168" s="1" t="s">
        <v>6732</v>
      </c>
      <c r="I1168" s="1">
        <v>288</v>
      </c>
      <c r="J1168" s="1" t="s">
        <v>6225</v>
      </c>
      <c r="K1168" s="1" t="s">
        <v>204</v>
      </c>
      <c r="M1168" s="1" t="s">
        <v>47</v>
      </c>
      <c r="N1168" s="1" t="s">
        <v>48</v>
      </c>
      <c r="O1168" s="9">
        <v>6</v>
      </c>
      <c r="P1168" s="1">
        <f>ROUNDUP(1030*(1-$F$3),2)</f>
        <v>1030</v>
      </c>
      <c r="Q1168" s="1" t="s">
        <v>49</v>
      </c>
      <c r="R1168" s="1" t="s">
        <v>6866</v>
      </c>
      <c r="S1168" s="1" t="s">
        <v>6867</v>
      </c>
      <c r="T1168" s="9">
        <v>22</v>
      </c>
      <c r="U1168" s="1">
        <f>ROUNDUP(844.26*(1-$F$3),2)</f>
        <v>844.26</v>
      </c>
      <c r="V1168" s="1">
        <v>278</v>
      </c>
      <c r="Y1168" s="1" t="s">
        <v>6868</v>
      </c>
      <c r="Z1168" s="1" t="s">
        <v>76</v>
      </c>
      <c r="AA1168" s="12">
        <v>45621</v>
      </c>
      <c r="AB1168" s="1" t="s">
        <v>66</v>
      </c>
      <c r="AC1168" s="1" t="s">
        <v>67</v>
      </c>
      <c r="AD1168" s="1" t="s">
        <v>165</v>
      </c>
      <c r="AE1168" s="1" t="s">
        <v>69</v>
      </c>
      <c r="AG1168" s="1">
        <v>11575460</v>
      </c>
    </row>
    <row r="1169" spans="1:33" s="1" customFormat="1" x14ac:dyDescent="0.25">
      <c r="C1169" s="1" t="s">
        <v>6869</v>
      </c>
      <c r="D1169" s="1" t="s">
        <v>6845</v>
      </c>
      <c r="E1169" s="1" t="s">
        <v>6870</v>
      </c>
      <c r="F1169" s="13" t="s">
        <v>6952</v>
      </c>
      <c r="G1169" s="1" t="s">
        <v>6871</v>
      </c>
      <c r="H1169" s="1" t="s">
        <v>160</v>
      </c>
      <c r="I1169" s="1">
        <v>384</v>
      </c>
      <c r="J1169" s="1" t="s">
        <v>6225</v>
      </c>
      <c r="K1169" s="1" t="s">
        <v>204</v>
      </c>
      <c r="M1169" s="1" t="s">
        <v>62</v>
      </c>
      <c r="N1169" s="1" t="s">
        <v>48</v>
      </c>
      <c r="O1169" s="9">
        <v>14</v>
      </c>
      <c r="P1169" s="1">
        <f>ROUNDUP(910*(1-$F$3),2)</f>
        <v>910</v>
      </c>
      <c r="Q1169" s="1" t="s">
        <v>49</v>
      </c>
      <c r="R1169" s="1" t="s">
        <v>6872</v>
      </c>
      <c r="S1169" s="1" t="s">
        <v>6873</v>
      </c>
      <c r="T1169" s="9">
        <v>10</v>
      </c>
      <c r="U1169" s="1">
        <f>ROUNDUP(827.27*(1-$F$3),2)</f>
        <v>827.27</v>
      </c>
      <c r="V1169" s="1">
        <v>419</v>
      </c>
      <c r="Y1169" s="1" t="s">
        <v>6874</v>
      </c>
      <c r="Z1169" s="1" t="s">
        <v>53</v>
      </c>
      <c r="AA1169" s="12">
        <v>45603</v>
      </c>
      <c r="AB1169" s="1" t="s">
        <v>66</v>
      </c>
      <c r="AC1169" s="1" t="s">
        <v>67</v>
      </c>
      <c r="AD1169" s="1" t="s">
        <v>165</v>
      </c>
      <c r="AE1169" s="1" t="s">
        <v>69</v>
      </c>
      <c r="AG1169" s="1">
        <v>11541130</v>
      </c>
    </row>
    <row r="1170" spans="1:33" s="1" customFormat="1" x14ac:dyDescent="0.25">
      <c r="C1170" s="1" t="s">
        <v>6875</v>
      </c>
      <c r="D1170" s="1" t="s">
        <v>6845</v>
      </c>
      <c r="E1170" s="1" t="s">
        <v>6876</v>
      </c>
      <c r="F1170" s="13" t="s">
        <v>6952</v>
      </c>
      <c r="G1170" s="1" t="s">
        <v>6853</v>
      </c>
      <c r="H1170" s="1" t="s">
        <v>160</v>
      </c>
      <c r="I1170" s="1">
        <v>416</v>
      </c>
      <c r="J1170" s="1" t="s">
        <v>6225</v>
      </c>
      <c r="K1170" s="1" t="s">
        <v>204</v>
      </c>
      <c r="M1170" s="1" t="s">
        <v>176</v>
      </c>
      <c r="N1170" s="1" t="s">
        <v>48</v>
      </c>
      <c r="O1170" s="9">
        <v>14</v>
      </c>
      <c r="P1170" s="1">
        <f>ROUNDUP(1320*(1-$F$3),2)</f>
        <v>1320</v>
      </c>
      <c r="Q1170" s="1" t="s">
        <v>49</v>
      </c>
      <c r="R1170" s="1" t="s">
        <v>6877</v>
      </c>
      <c r="S1170" s="1" t="s">
        <v>6878</v>
      </c>
      <c r="T1170" s="9">
        <v>10</v>
      </c>
      <c r="U1170" s="1">
        <f>ROUNDUP(1200*(1-$F$3),2)</f>
        <v>1200</v>
      </c>
      <c r="V1170" s="1">
        <v>443</v>
      </c>
      <c r="Y1170" s="1" t="s">
        <v>6879</v>
      </c>
      <c r="Z1170" s="1" t="s">
        <v>53</v>
      </c>
      <c r="AA1170" s="12">
        <v>45603</v>
      </c>
      <c r="AB1170" s="1" t="s">
        <v>66</v>
      </c>
      <c r="AC1170" s="1" t="s">
        <v>67</v>
      </c>
      <c r="AD1170" s="1" t="s">
        <v>165</v>
      </c>
      <c r="AE1170" s="1" t="s">
        <v>69</v>
      </c>
      <c r="AG1170" s="1">
        <v>11541070</v>
      </c>
    </row>
    <row r="1171" spans="1:33" s="1" customFormat="1" x14ac:dyDescent="0.25">
      <c r="C1171" s="1" t="s">
        <v>6880</v>
      </c>
      <c r="D1171" s="1" t="s">
        <v>6845</v>
      </c>
      <c r="E1171" s="1" t="s">
        <v>6881</v>
      </c>
      <c r="F1171" s="13" t="s">
        <v>6952</v>
      </c>
      <c r="G1171" s="1" t="s">
        <v>6882</v>
      </c>
      <c r="H1171" s="1" t="s">
        <v>160</v>
      </c>
      <c r="I1171" s="1">
        <v>480</v>
      </c>
      <c r="J1171" s="1" t="s">
        <v>6225</v>
      </c>
      <c r="K1171" s="1" t="s">
        <v>204</v>
      </c>
      <c r="M1171" s="1" t="s">
        <v>62</v>
      </c>
      <c r="N1171" s="1" t="s">
        <v>48</v>
      </c>
      <c r="O1171" s="9">
        <v>7</v>
      </c>
      <c r="P1171" s="1">
        <f>ROUNDUP(1400*(1-$F$3),2)</f>
        <v>1400</v>
      </c>
      <c r="Q1171" s="1" t="s">
        <v>49</v>
      </c>
      <c r="R1171" s="1" t="s">
        <v>6883</v>
      </c>
      <c r="S1171" s="1" t="s">
        <v>6884</v>
      </c>
      <c r="T1171" s="9">
        <v>10</v>
      </c>
      <c r="U1171" s="1">
        <f>ROUNDUP(1272.73*(1-$F$3),2)</f>
        <v>1272.73</v>
      </c>
      <c r="V1171" s="1">
        <v>504</v>
      </c>
      <c r="Y1171" s="1" t="s">
        <v>6885</v>
      </c>
      <c r="Z1171" s="1" t="s">
        <v>53</v>
      </c>
      <c r="AA1171" s="12">
        <v>45620</v>
      </c>
      <c r="AB1171" s="1" t="s">
        <v>66</v>
      </c>
      <c r="AC1171" s="1" t="s">
        <v>67</v>
      </c>
      <c r="AD1171" s="1" t="s">
        <v>165</v>
      </c>
      <c r="AE1171" s="1" t="s">
        <v>69</v>
      </c>
      <c r="AG1171" s="1">
        <v>11575240</v>
      </c>
    </row>
    <row r="1172" spans="1:33" s="11" customFormat="1" x14ac:dyDescent="0.25">
      <c r="A1172" s="11" t="s">
        <v>6953</v>
      </c>
      <c r="C1172" s="11" t="s">
        <v>6886</v>
      </c>
      <c r="D1172" s="11" t="s">
        <v>6845</v>
      </c>
      <c r="E1172" s="11" t="s">
        <v>6887</v>
      </c>
      <c r="F1172" s="14" t="s">
        <v>6952</v>
      </c>
      <c r="G1172" s="11" t="s">
        <v>6888</v>
      </c>
      <c r="H1172" s="11" t="s">
        <v>61</v>
      </c>
      <c r="I1172" s="11">
        <v>528</v>
      </c>
      <c r="J1172" s="11" t="s">
        <v>6225</v>
      </c>
      <c r="K1172" s="11" t="s">
        <v>204</v>
      </c>
      <c r="M1172" s="11" t="s">
        <v>62</v>
      </c>
      <c r="N1172" s="11" t="s">
        <v>48</v>
      </c>
      <c r="O1172" s="23">
        <v>10</v>
      </c>
      <c r="P1172" s="11">
        <f>ROUNDUP(1450*(1-$F$3),2)</f>
        <v>1450</v>
      </c>
      <c r="Q1172" s="11" t="s">
        <v>49</v>
      </c>
      <c r="R1172" s="11" t="s">
        <v>6889</v>
      </c>
      <c r="S1172" s="11" t="s">
        <v>6890</v>
      </c>
      <c r="T1172" s="23">
        <v>22</v>
      </c>
      <c r="U1172" s="11">
        <f>ROUNDUP(1188.52*(1-$F$3),2)</f>
        <v>1188.52</v>
      </c>
      <c r="V1172" s="11">
        <v>617</v>
      </c>
      <c r="Y1172" s="11" t="s">
        <v>6891</v>
      </c>
      <c r="Z1172" s="11" t="s">
        <v>76</v>
      </c>
      <c r="AA1172" s="15">
        <v>46123</v>
      </c>
      <c r="AB1172" s="11" t="s">
        <v>66</v>
      </c>
      <c r="AC1172" s="11" t="s">
        <v>120</v>
      </c>
      <c r="AD1172" s="11" t="s">
        <v>343</v>
      </c>
      <c r="AE1172" s="11" t="s">
        <v>69</v>
      </c>
      <c r="AG1172" s="11">
        <v>12067440</v>
      </c>
    </row>
    <row r="1173" spans="1:33" s="1" customFormat="1" x14ac:dyDescent="0.25">
      <c r="C1173" s="1" t="s">
        <v>6892</v>
      </c>
      <c r="D1173" s="1" t="s">
        <v>6845</v>
      </c>
      <c r="E1173" s="1" t="s">
        <v>6893</v>
      </c>
      <c r="F1173" s="13" t="s">
        <v>6952</v>
      </c>
      <c r="G1173" s="1" t="s">
        <v>6894</v>
      </c>
      <c r="H1173" s="1" t="s">
        <v>82</v>
      </c>
      <c r="I1173" s="1">
        <v>432</v>
      </c>
      <c r="J1173" s="1" t="s">
        <v>6225</v>
      </c>
      <c r="K1173" s="1" t="s">
        <v>204</v>
      </c>
      <c r="M1173" s="1" t="s">
        <v>176</v>
      </c>
      <c r="N1173" s="1" t="s">
        <v>48</v>
      </c>
      <c r="O1173" s="9">
        <v>7</v>
      </c>
      <c r="P1173" s="1">
        <f>ROUNDUP(1570*(1-$F$3),2)</f>
        <v>1570</v>
      </c>
      <c r="Q1173" s="1" t="s">
        <v>49</v>
      </c>
      <c r="R1173" s="1" t="s">
        <v>6895</v>
      </c>
      <c r="S1173" s="1" t="s">
        <v>6896</v>
      </c>
      <c r="T1173" s="9">
        <v>22</v>
      </c>
      <c r="U1173" s="1">
        <f>ROUNDUP(1286.89*(1-$F$3),2)</f>
        <v>1286.8900000000001</v>
      </c>
      <c r="V1173" s="1">
        <v>683</v>
      </c>
      <c r="Y1173" s="1" t="s">
        <v>6897</v>
      </c>
      <c r="Z1173" s="1" t="s">
        <v>76</v>
      </c>
      <c r="AA1173" s="12">
        <v>45603</v>
      </c>
      <c r="AB1173" s="1" t="s">
        <v>66</v>
      </c>
      <c r="AC1173" s="1" t="s">
        <v>67</v>
      </c>
      <c r="AD1173" s="1" t="s">
        <v>165</v>
      </c>
      <c r="AE1173" s="1" t="s">
        <v>69</v>
      </c>
      <c r="AG1173" s="1">
        <v>11541120</v>
      </c>
    </row>
    <row r="1174" spans="1:33" s="1" customFormat="1" x14ac:dyDescent="0.25">
      <c r="C1174" s="1" t="s">
        <v>6898</v>
      </c>
      <c r="D1174" s="1" t="s">
        <v>6899</v>
      </c>
      <c r="E1174" s="1" t="s">
        <v>6900</v>
      </c>
      <c r="F1174" s="13" t="s">
        <v>6952</v>
      </c>
      <c r="G1174" s="1" t="s">
        <v>6901</v>
      </c>
      <c r="H1174" s="1" t="s">
        <v>160</v>
      </c>
      <c r="I1174" s="1">
        <v>352</v>
      </c>
      <c r="J1174" s="1" t="s">
        <v>6225</v>
      </c>
      <c r="K1174" s="1" t="s">
        <v>204</v>
      </c>
      <c r="M1174" s="1" t="s">
        <v>47</v>
      </c>
      <c r="N1174" s="1" t="s">
        <v>139</v>
      </c>
      <c r="O1174" s="9">
        <v>12</v>
      </c>
      <c r="P1174" s="1">
        <f>ROUNDUP(840*(1-$F$3),2)</f>
        <v>840</v>
      </c>
      <c r="Q1174" s="1" t="s">
        <v>49</v>
      </c>
      <c r="R1174" s="1" t="s">
        <v>6902</v>
      </c>
      <c r="S1174" s="1" t="s">
        <v>6903</v>
      </c>
      <c r="T1174" s="9">
        <v>22</v>
      </c>
      <c r="U1174" s="1">
        <f>ROUNDUP(688.52*(1-$F$3),2)</f>
        <v>688.52</v>
      </c>
      <c r="V1174" s="1">
        <v>274</v>
      </c>
      <c r="Y1174" s="1" t="s">
        <v>6904</v>
      </c>
      <c r="Z1174" s="1" t="s">
        <v>76</v>
      </c>
      <c r="AA1174" s="12">
        <v>45918</v>
      </c>
      <c r="AB1174" s="1" t="s">
        <v>66</v>
      </c>
      <c r="AC1174" s="1" t="s">
        <v>120</v>
      </c>
      <c r="AD1174" s="1" t="s">
        <v>343</v>
      </c>
      <c r="AE1174" s="1" t="s">
        <v>69</v>
      </c>
      <c r="AG1174" s="1">
        <v>11865800</v>
      </c>
    </row>
    <row r="1175" spans="1:33" s="1" customFormat="1" x14ac:dyDescent="0.25">
      <c r="C1175" s="1" t="s">
        <v>6905</v>
      </c>
      <c r="D1175" s="1" t="s">
        <v>6899</v>
      </c>
      <c r="E1175" s="1" t="s">
        <v>6906</v>
      </c>
      <c r="F1175" s="13" t="s">
        <v>6952</v>
      </c>
      <c r="G1175" s="1" t="s">
        <v>6907</v>
      </c>
      <c r="H1175" s="1" t="s">
        <v>160</v>
      </c>
      <c r="I1175" s="1">
        <v>320</v>
      </c>
      <c r="J1175" s="1" t="s">
        <v>6225</v>
      </c>
      <c r="K1175" s="1" t="s">
        <v>204</v>
      </c>
      <c r="M1175" s="1" t="s">
        <v>47</v>
      </c>
      <c r="N1175" s="1" t="s">
        <v>48</v>
      </c>
      <c r="O1175" s="9">
        <v>14</v>
      </c>
      <c r="P1175" s="1">
        <f>ROUNDUP(790*(1-$F$3),2)</f>
        <v>790</v>
      </c>
      <c r="Q1175" s="1" t="s">
        <v>49</v>
      </c>
      <c r="R1175" s="1" t="s">
        <v>6908</v>
      </c>
      <c r="S1175" s="1" t="s">
        <v>6909</v>
      </c>
      <c r="T1175" s="9">
        <v>22</v>
      </c>
      <c r="U1175" s="1">
        <f>ROUNDUP(647.54*(1-$F$3),2)</f>
        <v>647.54</v>
      </c>
      <c r="V1175" s="1">
        <v>338</v>
      </c>
      <c r="Y1175" s="1" t="s">
        <v>6910</v>
      </c>
      <c r="Z1175" s="1" t="s">
        <v>76</v>
      </c>
      <c r="AA1175" s="12">
        <v>45901</v>
      </c>
      <c r="AB1175" s="1" t="s">
        <v>66</v>
      </c>
      <c r="AC1175" s="1" t="s">
        <v>120</v>
      </c>
      <c r="AD1175" s="1" t="s">
        <v>121</v>
      </c>
      <c r="AE1175" s="1" t="s">
        <v>69</v>
      </c>
      <c r="AG1175" s="1">
        <v>11856820</v>
      </c>
    </row>
    <row r="1176" spans="1:33" s="1" customFormat="1" x14ac:dyDescent="0.25">
      <c r="C1176" s="1" t="s">
        <v>6911</v>
      </c>
      <c r="D1176" s="1" t="s">
        <v>6899</v>
      </c>
      <c r="E1176" s="1" t="s">
        <v>6912</v>
      </c>
      <c r="F1176" s="13" t="s">
        <v>6952</v>
      </c>
      <c r="G1176" s="1" t="s">
        <v>6913</v>
      </c>
      <c r="H1176" s="1" t="s">
        <v>160</v>
      </c>
      <c r="I1176" s="1">
        <v>432</v>
      </c>
      <c r="J1176" s="1" t="s">
        <v>6225</v>
      </c>
      <c r="K1176" s="1" t="s">
        <v>204</v>
      </c>
      <c r="M1176" s="1" t="s">
        <v>176</v>
      </c>
      <c r="N1176" s="1" t="s">
        <v>139</v>
      </c>
      <c r="O1176" s="9">
        <v>10</v>
      </c>
      <c r="P1176" s="1">
        <f>ROUNDUP(880*(1-$F$3),2)</f>
        <v>880</v>
      </c>
      <c r="Q1176" s="1" t="s">
        <v>49</v>
      </c>
      <c r="R1176" s="1" t="s">
        <v>6914</v>
      </c>
      <c r="S1176" s="1" t="s">
        <v>6915</v>
      </c>
      <c r="T1176" s="9">
        <v>22</v>
      </c>
      <c r="U1176" s="1">
        <f>ROUNDUP(721.31*(1-$F$3),2)</f>
        <v>721.31</v>
      </c>
      <c r="V1176" s="1">
        <v>331</v>
      </c>
      <c r="Y1176" s="1" t="s">
        <v>6916</v>
      </c>
      <c r="Z1176" s="1" t="s">
        <v>76</v>
      </c>
      <c r="AA1176" s="12">
        <v>45603</v>
      </c>
      <c r="AB1176" s="1" t="s">
        <v>66</v>
      </c>
      <c r="AC1176" s="1" t="s">
        <v>120</v>
      </c>
      <c r="AD1176" s="1" t="s">
        <v>343</v>
      </c>
      <c r="AE1176" s="1" t="s">
        <v>69</v>
      </c>
      <c r="AG1176" s="1">
        <v>11541350</v>
      </c>
    </row>
    <row r="1177" spans="1:33" s="1" customFormat="1" x14ac:dyDescent="0.25">
      <c r="C1177" s="1" t="s">
        <v>6917</v>
      </c>
      <c r="D1177" s="1" t="s">
        <v>6899</v>
      </c>
      <c r="E1177" s="1" t="s">
        <v>6918</v>
      </c>
      <c r="F1177" s="13" t="s">
        <v>6952</v>
      </c>
      <c r="G1177" s="1" t="s">
        <v>6919</v>
      </c>
      <c r="H1177" s="1" t="s">
        <v>160</v>
      </c>
      <c r="I1177" s="1">
        <v>480</v>
      </c>
      <c r="J1177" s="1" t="s">
        <v>6225</v>
      </c>
      <c r="K1177" s="1" t="s">
        <v>204</v>
      </c>
      <c r="M1177" s="1" t="s">
        <v>176</v>
      </c>
      <c r="N1177" s="1" t="s">
        <v>48</v>
      </c>
      <c r="O1177" s="9">
        <v>12</v>
      </c>
      <c r="P1177" s="1">
        <f>ROUNDUP(970*(1-$F$3),2)</f>
        <v>970</v>
      </c>
      <c r="Q1177" s="1" t="s">
        <v>49</v>
      </c>
      <c r="R1177" s="1" t="s">
        <v>6920</v>
      </c>
      <c r="S1177" s="1" t="s">
        <v>6921</v>
      </c>
      <c r="T1177" s="9">
        <v>22</v>
      </c>
      <c r="U1177" s="1">
        <f>ROUNDUP(795.08*(1-$F$3),2)</f>
        <v>795.08</v>
      </c>
      <c r="V1177" s="1">
        <v>471</v>
      </c>
      <c r="Y1177" s="1" t="s">
        <v>6922</v>
      </c>
      <c r="Z1177" s="1" t="s">
        <v>76</v>
      </c>
      <c r="AA1177" s="12">
        <v>45603</v>
      </c>
      <c r="AB1177" s="1" t="s">
        <v>66</v>
      </c>
      <c r="AC1177" s="1" t="s">
        <v>120</v>
      </c>
      <c r="AD1177" s="1" t="s">
        <v>343</v>
      </c>
      <c r="AE1177" s="1" t="s">
        <v>69</v>
      </c>
      <c r="AG1177" s="1">
        <v>11541380</v>
      </c>
    </row>
    <row r="1178" spans="1:33" s="11" customFormat="1" x14ac:dyDescent="0.25">
      <c r="A1178" s="11" t="s">
        <v>6953</v>
      </c>
      <c r="C1178" s="11" t="s">
        <v>6923</v>
      </c>
      <c r="D1178" s="11" t="s">
        <v>6899</v>
      </c>
      <c r="E1178" s="11" t="s">
        <v>6924</v>
      </c>
      <c r="F1178" s="14" t="s">
        <v>6952</v>
      </c>
      <c r="G1178" s="11" t="s">
        <v>6925</v>
      </c>
      <c r="H1178" s="11" t="s">
        <v>61</v>
      </c>
      <c r="I1178" s="11">
        <v>400</v>
      </c>
      <c r="J1178" s="11" t="s">
        <v>6225</v>
      </c>
      <c r="K1178" s="11" t="s">
        <v>204</v>
      </c>
      <c r="M1178" s="11" t="s">
        <v>62</v>
      </c>
      <c r="N1178" s="11" t="s">
        <v>48</v>
      </c>
      <c r="O1178" s="23">
        <v>8</v>
      </c>
      <c r="P1178" s="11">
        <f>ROUNDUP(950*(1-$F$3),2)</f>
        <v>950</v>
      </c>
      <c r="Q1178" s="11" t="s">
        <v>49</v>
      </c>
      <c r="R1178" s="11" t="s">
        <v>6926</v>
      </c>
      <c r="S1178" s="11" t="s">
        <v>6927</v>
      </c>
      <c r="T1178" s="23">
        <v>22</v>
      </c>
      <c r="U1178" s="11">
        <f>ROUNDUP(778.69*(1-$F$3),2)</f>
        <v>778.69</v>
      </c>
      <c r="V1178" s="11">
        <v>487</v>
      </c>
      <c r="Y1178" s="11" t="s">
        <v>6928</v>
      </c>
      <c r="Z1178" s="11" t="s">
        <v>76</v>
      </c>
      <c r="AA1178" s="15">
        <v>46091</v>
      </c>
      <c r="AB1178" s="11" t="s">
        <v>66</v>
      </c>
      <c r="AC1178" s="11" t="s">
        <v>143</v>
      </c>
      <c r="AD1178" s="11" t="s">
        <v>847</v>
      </c>
      <c r="AE1178" s="11" t="s">
        <v>69</v>
      </c>
      <c r="AG1178" s="11">
        <v>12041920</v>
      </c>
    </row>
    <row r="1179" spans="1:33" s="1" customFormat="1" x14ac:dyDescent="0.25">
      <c r="C1179" s="1" t="s">
        <v>6929</v>
      </c>
      <c r="D1179" s="1" t="s">
        <v>6899</v>
      </c>
      <c r="E1179" s="1" t="s">
        <v>6930</v>
      </c>
      <c r="F1179" s="13" t="s">
        <v>6952</v>
      </c>
      <c r="G1179" s="1" t="s">
        <v>6931</v>
      </c>
      <c r="H1179" s="1" t="s">
        <v>160</v>
      </c>
      <c r="I1179" s="1">
        <v>368</v>
      </c>
      <c r="J1179" s="1" t="s">
        <v>6225</v>
      </c>
      <c r="K1179" s="1" t="s">
        <v>204</v>
      </c>
      <c r="M1179" s="1" t="s">
        <v>62</v>
      </c>
      <c r="N1179" s="1" t="s">
        <v>139</v>
      </c>
      <c r="O1179" s="9">
        <v>10</v>
      </c>
      <c r="P1179" s="1">
        <f>ROUNDUP(840*(1-$F$3),2)</f>
        <v>840</v>
      </c>
      <c r="Q1179" s="1" t="s">
        <v>49</v>
      </c>
      <c r="R1179" s="1" t="s">
        <v>6932</v>
      </c>
      <c r="S1179" s="1" t="s">
        <v>6933</v>
      </c>
      <c r="T1179" s="9">
        <v>22</v>
      </c>
      <c r="U1179" s="1">
        <f>ROUNDUP(688.52*(1-$F$3),2)</f>
        <v>688.52</v>
      </c>
      <c r="V1179" s="1">
        <v>297</v>
      </c>
      <c r="Y1179" s="1" t="s">
        <v>6934</v>
      </c>
      <c r="Z1179" s="1" t="s">
        <v>76</v>
      </c>
      <c r="AA1179" s="12">
        <v>45603</v>
      </c>
      <c r="AB1179" s="1" t="s">
        <v>66</v>
      </c>
      <c r="AC1179" s="1" t="s">
        <v>120</v>
      </c>
      <c r="AD1179" s="1" t="s">
        <v>343</v>
      </c>
      <c r="AE1179" s="1" t="s">
        <v>69</v>
      </c>
      <c r="AG1179" s="1">
        <v>11541310</v>
      </c>
    </row>
    <row r="1180" spans="1:33" s="1" customFormat="1" x14ac:dyDescent="0.25">
      <c r="C1180" s="1" t="s">
        <v>6935</v>
      </c>
      <c r="D1180" s="1" t="s">
        <v>6899</v>
      </c>
      <c r="E1180" s="1" t="s">
        <v>6936</v>
      </c>
      <c r="F1180" s="13" t="s">
        <v>6952</v>
      </c>
      <c r="G1180" s="1" t="s">
        <v>6913</v>
      </c>
      <c r="H1180" s="1" t="s">
        <v>160</v>
      </c>
      <c r="I1180" s="1">
        <v>448</v>
      </c>
      <c r="J1180" s="1" t="s">
        <v>6225</v>
      </c>
      <c r="K1180" s="1" t="s">
        <v>204</v>
      </c>
      <c r="M1180" s="1" t="s">
        <v>176</v>
      </c>
      <c r="N1180" s="1" t="s">
        <v>139</v>
      </c>
      <c r="O1180" s="9">
        <v>10</v>
      </c>
      <c r="P1180" s="1">
        <f>ROUNDUP(840*(1-$F$3),2)</f>
        <v>840</v>
      </c>
      <c r="Q1180" s="1" t="s">
        <v>49</v>
      </c>
      <c r="R1180" s="1" t="s">
        <v>6937</v>
      </c>
      <c r="S1180" s="1" t="s">
        <v>6938</v>
      </c>
      <c r="T1180" s="9">
        <v>10</v>
      </c>
      <c r="U1180" s="1">
        <f>ROUNDUP(763.64*(1-$F$3),2)</f>
        <v>763.64</v>
      </c>
      <c r="V1180" s="1">
        <v>339</v>
      </c>
      <c r="Y1180" s="1" t="s">
        <v>6939</v>
      </c>
      <c r="Z1180" s="1" t="s">
        <v>53</v>
      </c>
      <c r="AA1180" s="12">
        <v>45603</v>
      </c>
      <c r="AB1180" s="1" t="s">
        <v>66</v>
      </c>
      <c r="AC1180" s="1" t="s">
        <v>120</v>
      </c>
      <c r="AD1180" s="1" t="s">
        <v>343</v>
      </c>
      <c r="AE1180" s="1" t="s">
        <v>69</v>
      </c>
      <c r="AG1180" s="1">
        <v>11541270</v>
      </c>
    </row>
    <row r="1181" spans="1:33" s="1" customFormat="1" x14ac:dyDescent="0.25">
      <c r="C1181" s="1" t="s">
        <v>6940</v>
      </c>
      <c r="D1181" s="1" t="s">
        <v>6899</v>
      </c>
      <c r="E1181" s="1" t="s">
        <v>6941</v>
      </c>
      <c r="F1181" s="13" t="s">
        <v>6952</v>
      </c>
      <c r="G1181" s="1" t="s">
        <v>6942</v>
      </c>
      <c r="H1181" s="1" t="s">
        <v>160</v>
      </c>
      <c r="I1181" s="1">
        <v>384</v>
      </c>
      <c r="J1181" s="1" t="s">
        <v>6225</v>
      </c>
      <c r="K1181" s="1" t="s">
        <v>204</v>
      </c>
      <c r="M1181" s="1" t="s">
        <v>47</v>
      </c>
      <c r="N1181" s="1" t="s">
        <v>48</v>
      </c>
      <c r="O1181" s="9">
        <v>8</v>
      </c>
      <c r="P1181" s="1">
        <f>ROUNDUP(1000*(1-$F$3),2)</f>
        <v>1000</v>
      </c>
      <c r="Q1181" s="1" t="s">
        <v>49</v>
      </c>
      <c r="R1181" s="1" t="s">
        <v>6943</v>
      </c>
      <c r="S1181" s="1" t="s">
        <v>6944</v>
      </c>
      <c r="T1181" s="9">
        <v>10</v>
      </c>
      <c r="U1181" s="1">
        <f>ROUNDUP(909.09*(1-$F$3),2)</f>
        <v>909.09</v>
      </c>
      <c r="V1181" s="1">
        <v>395</v>
      </c>
      <c r="Y1181" s="1" t="s">
        <v>6945</v>
      </c>
      <c r="Z1181" s="1" t="s">
        <v>53</v>
      </c>
      <c r="AA1181" s="12">
        <v>45875</v>
      </c>
      <c r="AB1181" s="1" t="s">
        <v>66</v>
      </c>
      <c r="AC1181" s="1" t="s">
        <v>120</v>
      </c>
      <c r="AD1181" s="1" t="s">
        <v>121</v>
      </c>
      <c r="AE1181" s="1" t="s">
        <v>69</v>
      </c>
      <c r="AG1181" s="1">
        <v>11803810</v>
      </c>
    </row>
    <row r="1182" spans="1:33" s="1" customFormat="1" x14ac:dyDescent="0.25">
      <c r="C1182" s="1" t="s">
        <v>6946</v>
      </c>
      <c r="D1182" s="1" t="s">
        <v>6899</v>
      </c>
      <c r="E1182" s="1" t="s">
        <v>6947</v>
      </c>
      <c r="F1182" s="13" t="s">
        <v>6952</v>
      </c>
      <c r="G1182" s="1" t="s">
        <v>6948</v>
      </c>
      <c r="H1182" s="1" t="s">
        <v>160</v>
      </c>
      <c r="I1182" s="1">
        <v>368</v>
      </c>
      <c r="J1182" s="1" t="s">
        <v>6225</v>
      </c>
      <c r="K1182" s="1" t="s">
        <v>204</v>
      </c>
      <c r="M1182" s="1" t="s">
        <v>176</v>
      </c>
      <c r="N1182" s="1" t="s">
        <v>139</v>
      </c>
      <c r="O1182" s="9">
        <v>14</v>
      </c>
      <c r="P1182" s="1">
        <f>ROUNDUP(880*(1-$F$3),2)</f>
        <v>880</v>
      </c>
      <c r="Q1182" s="1" t="s">
        <v>49</v>
      </c>
      <c r="R1182" s="1" t="s">
        <v>6949</v>
      </c>
      <c r="S1182" s="1" t="s">
        <v>6950</v>
      </c>
      <c r="T1182" s="9">
        <v>22</v>
      </c>
      <c r="U1182" s="1">
        <f>ROUNDUP(721.31*(1-$F$3),2)</f>
        <v>721.31</v>
      </c>
      <c r="V1182" s="1">
        <v>311</v>
      </c>
      <c r="Y1182" s="1" t="s">
        <v>6951</v>
      </c>
      <c r="Z1182" s="1" t="s">
        <v>76</v>
      </c>
      <c r="AA1182" s="12">
        <v>45603</v>
      </c>
      <c r="AB1182" s="1" t="s">
        <v>66</v>
      </c>
      <c r="AC1182" s="1" t="s">
        <v>120</v>
      </c>
      <c r="AD1182" s="1" t="s">
        <v>121</v>
      </c>
      <c r="AE1182" s="1" t="s">
        <v>69</v>
      </c>
      <c r="AG1182" s="1">
        <v>11541140</v>
      </c>
    </row>
    <row r="1183" spans="1:33" x14ac:dyDescent="0.25">
      <c r="O1183" s="8"/>
      <c r="T1183" s="8"/>
    </row>
  </sheetData>
  <autoFilter ref="A5:AH5" xr:uid="{00000000-0009-0000-0000-000000000000}"/>
  <hyperlinks>
    <hyperlink ref="F7" r:id="rId1" xr:uid="{00000000-0004-0000-0000-000000000000}"/>
    <hyperlink ref="F8" r:id="rId2" xr:uid="{00000000-0004-0000-0000-000001000000}"/>
    <hyperlink ref="F9" r:id="rId3" xr:uid="{00000000-0004-0000-0000-000002000000}"/>
    <hyperlink ref="F10" r:id="rId4" xr:uid="{00000000-0004-0000-0000-000003000000}"/>
    <hyperlink ref="F11" r:id="rId5" xr:uid="{00000000-0004-0000-0000-000004000000}"/>
    <hyperlink ref="F12" r:id="rId6" xr:uid="{00000000-0004-0000-0000-000005000000}"/>
    <hyperlink ref="F13" r:id="rId7" xr:uid="{00000000-0004-0000-0000-000006000000}"/>
    <hyperlink ref="F14" r:id="rId8" xr:uid="{00000000-0004-0000-0000-000007000000}"/>
    <hyperlink ref="F15" r:id="rId9" xr:uid="{00000000-0004-0000-0000-000008000000}"/>
    <hyperlink ref="F16" r:id="rId10" xr:uid="{00000000-0004-0000-0000-000009000000}"/>
    <hyperlink ref="F17" r:id="rId11" xr:uid="{00000000-0004-0000-0000-00000A000000}"/>
    <hyperlink ref="F18" r:id="rId12" xr:uid="{00000000-0004-0000-0000-00000B000000}"/>
    <hyperlink ref="F19" r:id="rId13" xr:uid="{00000000-0004-0000-0000-00000C000000}"/>
    <hyperlink ref="F20" r:id="rId14" xr:uid="{00000000-0004-0000-0000-00000D000000}"/>
    <hyperlink ref="F21" r:id="rId15" xr:uid="{00000000-0004-0000-0000-00000E000000}"/>
    <hyperlink ref="F22" r:id="rId16" xr:uid="{00000000-0004-0000-0000-00000F000000}"/>
    <hyperlink ref="F23" r:id="rId17" xr:uid="{00000000-0004-0000-0000-000010000000}"/>
    <hyperlink ref="F24" r:id="rId18" xr:uid="{00000000-0004-0000-0000-000011000000}"/>
    <hyperlink ref="F25" r:id="rId19" xr:uid="{00000000-0004-0000-0000-000012000000}"/>
    <hyperlink ref="F26" r:id="rId20" xr:uid="{00000000-0004-0000-0000-000013000000}"/>
    <hyperlink ref="F27" r:id="rId21" xr:uid="{00000000-0004-0000-0000-000014000000}"/>
    <hyperlink ref="F28" r:id="rId22" xr:uid="{00000000-0004-0000-0000-000015000000}"/>
    <hyperlink ref="F29" r:id="rId23" xr:uid="{00000000-0004-0000-0000-000016000000}"/>
    <hyperlink ref="F30" r:id="rId24" xr:uid="{00000000-0004-0000-0000-000017000000}"/>
    <hyperlink ref="F31" r:id="rId25" xr:uid="{00000000-0004-0000-0000-000018000000}"/>
    <hyperlink ref="F32" r:id="rId26" xr:uid="{00000000-0004-0000-0000-000019000000}"/>
    <hyperlink ref="F33" r:id="rId27" xr:uid="{00000000-0004-0000-0000-00001A000000}"/>
    <hyperlink ref="F34" r:id="rId28" xr:uid="{00000000-0004-0000-0000-00001B000000}"/>
    <hyperlink ref="F35" r:id="rId29" xr:uid="{00000000-0004-0000-0000-00001C000000}"/>
    <hyperlink ref="F36" r:id="rId30" xr:uid="{00000000-0004-0000-0000-00001D000000}"/>
    <hyperlink ref="F37" r:id="rId31" xr:uid="{00000000-0004-0000-0000-00001E000000}"/>
    <hyperlink ref="F38" r:id="rId32" xr:uid="{00000000-0004-0000-0000-00001F000000}"/>
    <hyperlink ref="F39" r:id="rId33" xr:uid="{00000000-0004-0000-0000-000020000000}"/>
    <hyperlink ref="F40" r:id="rId34" xr:uid="{00000000-0004-0000-0000-000021000000}"/>
    <hyperlink ref="F41" r:id="rId35" xr:uid="{00000000-0004-0000-0000-000022000000}"/>
    <hyperlink ref="F42" r:id="rId36" xr:uid="{00000000-0004-0000-0000-000023000000}"/>
    <hyperlink ref="F43" r:id="rId37" xr:uid="{00000000-0004-0000-0000-000024000000}"/>
    <hyperlink ref="F44" r:id="rId38" xr:uid="{00000000-0004-0000-0000-000025000000}"/>
    <hyperlink ref="F45" r:id="rId39" xr:uid="{00000000-0004-0000-0000-000026000000}"/>
    <hyperlink ref="F46" r:id="rId40" xr:uid="{00000000-0004-0000-0000-000027000000}"/>
    <hyperlink ref="F47" r:id="rId41" xr:uid="{00000000-0004-0000-0000-000028000000}"/>
    <hyperlink ref="F48" r:id="rId42" xr:uid="{00000000-0004-0000-0000-000029000000}"/>
    <hyperlink ref="F49" r:id="rId43" xr:uid="{00000000-0004-0000-0000-00002A000000}"/>
    <hyperlink ref="F50" r:id="rId44" xr:uid="{00000000-0004-0000-0000-00002B000000}"/>
    <hyperlink ref="F51" r:id="rId45" xr:uid="{00000000-0004-0000-0000-00002C000000}"/>
    <hyperlink ref="F52" r:id="rId46" xr:uid="{00000000-0004-0000-0000-00002D000000}"/>
    <hyperlink ref="F53" r:id="rId47" xr:uid="{00000000-0004-0000-0000-00002E000000}"/>
    <hyperlink ref="F54" r:id="rId48" xr:uid="{00000000-0004-0000-0000-00002F000000}"/>
    <hyperlink ref="F55" r:id="rId49" xr:uid="{00000000-0004-0000-0000-000030000000}"/>
    <hyperlink ref="F56" r:id="rId50" xr:uid="{00000000-0004-0000-0000-000031000000}"/>
    <hyperlink ref="F57" r:id="rId51" xr:uid="{00000000-0004-0000-0000-000032000000}"/>
    <hyperlink ref="F58" r:id="rId52" xr:uid="{00000000-0004-0000-0000-000033000000}"/>
    <hyperlink ref="F59" r:id="rId53" xr:uid="{00000000-0004-0000-0000-000034000000}"/>
    <hyperlink ref="F60" r:id="rId54" xr:uid="{00000000-0004-0000-0000-000035000000}"/>
    <hyperlink ref="F61" r:id="rId55" xr:uid="{00000000-0004-0000-0000-000036000000}"/>
    <hyperlink ref="F62" r:id="rId56" xr:uid="{00000000-0004-0000-0000-000037000000}"/>
    <hyperlink ref="F63" r:id="rId57" xr:uid="{00000000-0004-0000-0000-000038000000}"/>
    <hyperlink ref="F64" r:id="rId58" xr:uid="{00000000-0004-0000-0000-000039000000}"/>
    <hyperlink ref="F65" r:id="rId59" xr:uid="{00000000-0004-0000-0000-00003A000000}"/>
    <hyperlink ref="F66" r:id="rId60" xr:uid="{00000000-0004-0000-0000-00003B000000}"/>
    <hyperlink ref="F67" r:id="rId61" xr:uid="{00000000-0004-0000-0000-00003C000000}"/>
    <hyperlink ref="F68" r:id="rId62" xr:uid="{00000000-0004-0000-0000-00003D000000}"/>
    <hyperlink ref="F69" r:id="rId63" xr:uid="{00000000-0004-0000-0000-00003E000000}"/>
    <hyperlink ref="F70" r:id="rId64" xr:uid="{00000000-0004-0000-0000-00003F000000}"/>
    <hyperlink ref="F71" r:id="rId65" xr:uid="{00000000-0004-0000-0000-000040000000}"/>
    <hyperlink ref="F72" r:id="rId66" xr:uid="{00000000-0004-0000-0000-000041000000}"/>
    <hyperlink ref="F73" r:id="rId67" xr:uid="{00000000-0004-0000-0000-000042000000}"/>
    <hyperlink ref="F74" r:id="rId68" xr:uid="{00000000-0004-0000-0000-000043000000}"/>
    <hyperlink ref="F75" r:id="rId69" xr:uid="{00000000-0004-0000-0000-000044000000}"/>
    <hyperlink ref="F76" r:id="rId70" xr:uid="{00000000-0004-0000-0000-000045000000}"/>
    <hyperlink ref="F77" r:id="rId71" xr:uid="{00000000-0004-0000-0000-000046000000}"/>
    <hyperlink ref="F78" r:id="rId72" xr:uid="{00000000-0004-0000-0000-000047000000}"/>
    <hyperlink ref="F79" r:id="rId73" xr:uid="{00000000-0004-0000-0000-000048000000}"/>
    <hyperlink ref="F80" r:id="rId74" xr:uid="{00000000-0004-0000-0000-000049000000}"/>
    <hyperlink ref="F81" r:id="rId75" xr:uid="{00000000-0004-0000-0000-00004A000000}"/>
    <hyperlink ref="F82" r:id="rId76" xr:uid="{00000000-0004-0000-0000-00004B000000}"/>
    <hyperlink ref="F83" r:id="rId77" xr:uid="{00000000-0004-0000-0000-00004C000000}"/>
    <hyperlink ref="F84" r:id="rId78" xr:uid="{00000000-0004-0000-0000-00004D000000}"/>
    <hyperlink ref="F85" r:id="rId79" xr:uid="{00000000-0004-0000-0000-00004E000000}"/>
    <hyperlink ref="F86" r:id="rId80" xr:uid="{00000000-0004-0000-0000-00004F000000}"/>
    <hyperlink ref="F87" r:id="rId81" xr:uid="{00000000-0004-0000-0000-000050000000}"/>
    <hyperlink ref="F88" r:id="rId82" xr:uid="{00000000-0004-0000-0000-000051000000}"/>
    <hyperlink ref="F89" r:id="rId83" xr:uid="{00000000-0004-0000-0000-000052000000}"/>
    <hyperlink ref="F90" r:id="rId84" xr:uid="{00000000-0004-0000-0000-000053000000}"/>
    <hyperlink ref="F91" r:id="rId85" xr:uid="{00000000-0004-0000-0000-000054000000}"/>
    <hyperlink ref="F92" r:id="rId86" xr:uid="{00000000-0004-0000-0000-000055000000}"/>
    <hyperlink ref="F93" r:id="rId87" xr:uid="{00000000-0004-0000-0000-000056000000}"/>
    <hyperlink ref="F94" r:id="rId88" xr:uid="{00000000-0004-0000-0000-000057000000}"/>
    <hyperlink ref="F95" r:id="rId89" xr:uid="{00000000-0004-0000-0000-000058000000}"/>
    <hyperlink ref="F96" r:id="rId90" xr:uid="{00000000-0004-0000-0000-000059000000}"/>
    <hyperlink ref="F97" r:id="rId91" xr:uid="{00000000-0004-0000-0000-00005A000000}"/>
    <hyperlink ref="F98" r:id="rId92" xr:uid="{00000000-0004-0000-0000-00005B000000}"/>
    <hyperlink ref="F99" r:id="rId93" xr:uid="{00000000-0004-0000-0000-00005C000000}"/>
    <hyperlink ref="F100" r:id="rId94" xr:uid="{00000000-0004-0000-0000-00005D000000}"/>
    <hyperlink ref="F101" r:id="rId95" xr:uid="{00000000-0004-0000-0000-00005E000000}"/>
    <hyperlink ref="F102" r:id="rId96" xr:uid="{00000000-0004-0000-0000-00005F000000}"/>
    <hyperlink ref="F103" r:id="rId97" xr:uid="{00000000-0004-0000-0000-000060000000}"/>
    <hyperlink ref="F104" r:id="rId98" xr:uid="{00000000-0004-0000-0000-000061000000}"/>
    <hyperlink ref="F105" r:id="rId99" xr:uid="{00000000-0004-0000-0000-000062000000}"/>
    <hyperlink ref="F106" r:id="rId100" xr:uid="{00000000-0004-0000-0000-000063000000}"/>
    <hyperlink ref="F107" r:id="rId101" xr:uid="{00000000-0004-0000-0000-000064000000}"/>
    <hyperlink ref="F108" r:id="rId102" xr:uid="{00000000-0004-0000-0000-000065000000}"/>
    <hyperlink ref="F109" r:id="rId103" xr:uid="{00000000-0004-0000-0000-000066000000}"/>
    <hyperlink ref="F110" r:id="rId104" xr:uid="{00000000-0004-0000-0000-000067000000}"/>
    <hyperlink ref="F111" r:id="rId105" xr:uid="{00000000-0004-0000-0000-000068000000}"/>
    <hyperlink ref="F112" r:id="rId106" xr:uid="{00000000-0004-0000-0000-000069000000}"/>
    <hyperlink ref="F113" r:id="rId107" xr:uid="{00000000-0004-0000-0000-00006A000000}"/>
    <hyperlink ref="F114" r:id="rId108" xr:uid="{00000000-0004-0000-0000-00006B000000}"/>
    <hyperlink ref="F115" r:id="rId109" xr:uid="{00000000-0004-0000-0000-00006C000000}"/>
    <hyperlink ref="F116" r:id="rId110" xr:uid="{00000000-0004-0000-0000-00006D000000}"/>
    <hyperlink ref="F117" r:id="rId111" xr:uid="{00000000-0004-0000-0000-00006E000000}"/>
    <hyperlink ref="F118" r:id="rId112" xr:uid="{00000000-0004-0000-0000-00006F000000}"/>
    <hyperlink ref="F119" r:id="rId113" xr:uid="{00000000-0004-0000-0000-000070000000}"/>
    <hyperlink ref="F120" r:id="rId114" xr:uid="{00000000-0004-0000-0000-000071000000}"/>
    <hyperlink ref="F121" r:id="rId115" xr:uid="{00000000-0004-0000-0000-000072000000}"/>
    <hyperlink ref="F122" r:id="rId116" xr:uid="{00000000-0004-0000-0000-000073000000}"/>
    <hyperlink ref="F123" r:id="rId117" xr:uid="{00000000-0004-0000-0000-000074000000}"/>
    <hyperlink ref="F124" r:id="rId118" xr:uid="{00000000-0004-0000-0000-000075000000}"/>
    <hyperlink ref="F125" r:id="rId119" xr:uid="{00000000-0004-0000-0000-000076000000}"/>
    <hyperlink ref="F126" r:id="rId120" xr:uid="{00000000-0004-0000-0000-000077000000}"/>
    <hyperlink ref="F127" r:id="rId121" xr:uid="{00000000-0004-0000-0000-000078000000}"/>
    <hyperlink ref="F128" r:id="rId122" xr:uid="{00000000-0004-0000-0000-000079000000}"/>
    <hyperlink ref="F129" r:id="rId123" xr:uid="{00000000-0004-0000-0000-00007A000000}"/>
    <hyperlink ref="F130" r:id="rId124" xr:uid="{00000000-0004-0000-0000-00007B000000}"/>
    <hyperlink ref="F131" r:id="rId125" xr:uid="{00000000-0004-0000-0000-00007C000000}"/>
    <hyperlink ref="F132" r:id="rId126" xr:uid="{00000000-0004-0000-0000-00007D000000}"/>
    <hyperlink ref="F133" r:id="rId127" xr:uid="{00000000-0004-0000-0000-00007E000000}"/>
    <hyperlink ref="F134" r:id="rId128" xr:uid="{00000000-0004-0000-0000-00007F000000}"/>
    <hyperlink ref="F135" r:id="rId129" xr:uid="{00000000-0004-0000-0000-000080000000}"/>
    <hyperlink ref="F136" r:id="rId130" xr:uid="{00000000-0004-0000-0000-000081000000}"/>
    <hyperlink ref="F137" r:id="rId131" xr:uid="{00000000-0004-0000-0000-000082000000}"/>
    <hyperlink ref="F138" r:id="rId132" xr:uid="{00000000-0004-0000-0000-000083000000}"/>
    <hyperlink ref="F139" r:id="rId133" xr:uid="{00000000-0004-0000-0000-000084000000}"/>
    <hyperlink ref="F140" r:id="rId134" xr:uid="{00000000-0004-0000-0000-000085000000}"/>
    <hyperlink ref="F141" r:id="rId135" xr:uid="{00000000-0004-0000-0000-000086000000}"/>
    <hyperlink ref="F142" r:id="rId136" xr:uid="{00000000-0004-0000-0000-000087000000}"/>
    <hyperlink ref="F143" r:id="rId137" xr:uid="{00000000-0004-0000-0000-000088000000}"/>
    <hyperlink ref="F144" r:id="rId138" xr:uid="{00000000-0004-0000-0000-000089000000}"/>
    <hyperlink ref="F145" r:id="rId139" xr:uid="{00000000-0004-0000-0000-00008A000000}"/>
    <hyperlink ref="F146" r:id="rId140" xr:uid="{00000000-0004-0000-0000-00008B000000}"/>
    <hyperlink ref="F147" r:id="rId141" xr:uid="{00000000-0004-0000-0000-00008C000000}"/>
    <hyperlink ref="F148" r:id="rId142" xr:uid="{00000000-0004-0000-0000-00008D000000}"/>
    <hyperlink ref="F149" r:id="rId143" xr:uid="{00000000-0004-0000-0000-00008E000000}"/>
    <hyperlink ref="F150" r:id="rId144" xr:uid="{00000000-0004-0000-0000-00008F000000}"/>
    <hyperlink ref="F151" r:id="rId145" xr:uid="{00000000-0004-0000-0000-000090000000}"/>
    <hyperlink ref="F152" r:id="rId146" xr:uid="{00000000-0004-0000-0000-000091000000}"/>
    <hyperlink ref="F153" r:id="rId147" xr:uid="{00000000-0004-0000-0000-000092000000}"/>
    <hyperlink ref="F154" r:id="rId148" xr:uid="{00000000-0004-0000-0000-000093000000}"/>
    <hyperlink ref="F155" r:id="rId149" xr:uid="{00000000-0004-0000-0000-000094000000}"/>
    <hyperlink ref="F156" r:id="rId150" xr:uid="{00000000-0004-0000-0000-000095000000}"/>
    <hyperlink ref="F157" r:id="rId151" xr:uid="{00000000-0004-0000-0000-000096000000}"/>
    <hyperlink ref="F158" r:id="rId152" xr:uid="{00000000-0004-0000-0000-000097000000}"/>
    <hyperlink ref="F159" r:id="rId153" xr:uid="{00000000-0004-0000-0000-000098000000}"/>
    <hyperlink ref="F160" r:id="rId154" xr:uid="{00000000-0004-0000-0000-000099000000}"/>
    <hyperlink ref="F161" r:id="rId155" xr:uid="{00000000-0004-0000-0000-00009A000000}"/>
    <hyperlink ref="F162" r:id="rId156" xr:uid="{00000000-0004-0000-0000-00009B000000}"/>
    <hyperlink ref="F163" r:id="rId157" xr:uid="{00000000-0004-0000-0000-00009C000000}"/>
    <hyperlink ref="F164" r:id="rId158" xr:uid="{00000000-0004-0000-0000-00009D000000}"/>
    <hyperlink ref="F165" r:id="rId159" xr:uid="{00000000-0004-0000-0000-00009E000000}"/>
    <hyperlink ref="F166" r:id="rId160" xr:uid="{00000000-0004-0000-0000-00009F000000}"/>
    <hyperlink ref="F167" r:id="rId161" xr:uid="{00000000-0004-0000-0000-0000A0000000}"/>
    <hyperlink ref="F168" r:id="rId162" xr:uid="{00000000-0004-0000-0000-0000A1000000}"/>
    <hyperlink ref="F169" r:id="rId163" xr:uid="{00000000-0004-0000-0000-0000A2000000}"/>
    <hyperlink ref="F170" r:id="rId164" xr:uid="{00000000-0004-0000-0000-0000A3000000}"/>
    <hyperlink ref="F171" r:id="rId165" xr:uid="{00000000-0004-0000-0000-0000A4000000}"/>
    <hyperlink ref="F172" r:id="rId166" xr:uid="{00000000-0004-0000-0000-0000A5000000}"/>
    <hyperlink ref="F173" r:id="rId167" xr:uid="{00000000-0004-0000-0000-0000A6000000}"/>
    <hyperlink ref="F174" r:id="rId168" xr:uid="{00000000-0004-0000-0000-0000A7000000}"/>
    <hyperlink ref="F175" r:id="rId169" xr:uid="{00000000-0004-0000-0000-0000A8000000}"/>
    <hyperlink ref="F176" r:id="rId170" xr:uid="{00000000-0004-0000-0000-0000A9000000}"/>
    <hyperlink ref="F177" r:id="rId171" xr:uid="{00000000-0004-0000-0000-0000AA000000}"/>
    <hyperlink ref="F178" r:id="rId172" xr:uid="{00000000-0004-0000-0000-0000AB000000}"/>
    <hyperlink ref="F179" r:id="rId173" xr:uid="{00000000-0004-0000-0000-0000AC000000}"/>
    <hyperlink ref="F180" r:id="rId174" xr:uid="{00000000-0004-0000-0000-0000AD000000}"/>
    <hyperlink ref="F181" r:id="rId175" xr:uid="{00000000-0004-0000-0000-0000AE000000}"/>
    <hyperlink ref="F182" r:id="rId176" xr:uid="{00000000-0004-0000-0000-0000AF000000}"/>
    <hyperlink ref="F183" r:id="rId177" xr:uid="{00000000-0004-0000-0000-0000B0000000}"/>
    <hyperlink ref="F184" r:id="rId178" xr:uid="{00000000-0004-0000-0000-0000B1000000}"/>
    <hyperlink ref="F185" r:id="rId179" xr:uid="{00000000-0004-0000-0000-0000B2000000}"/>
    <hyperlink ref="F186" r:id="rId180" xr:uid="{00000000-0004-0000-0000-0000B3000000}"/>
    <hyperlink ref="F187" r:id="rId181" xr:uid="{00000000-0004-0000-0000-0000B4000000}"/>
    <hyperlink ref="F188" r:id="rId182" xr:uid="{00000000-0004-0000-0000-0000B5000000}"/>
    <hyperlink ref="F189" r:id="rId183" xr:uid="{00000000-0004-0000-0000-0000B6000000}"/>
    <hyperlink ref="F190" r:id="rId184" xr:uid="{00000000-0004-0000-0000-0000B7000000}"/>
    <hyperlink ref="F191" r:id="rId185" xr:uid="{00000000-0004-0000-0000-0000B8000000}"/>
    <hyperlink ref="F192" r:id="rId186" xr:uid="{00000000-0004-0000-0000-0000B9000000}"/>
    <hyperlink ref="F193" r:id="rId187" xr:uid="{00000000-0004-0000-0000-0000BA000000}"/>
    <hyperlink ref="F194" r:id="rId188" xr:uid="{00000000-0004-0000-0000-0000BB000000}"/>
    <hyperlink ref="F195" r:id="rId189" xr:uid="{00000000-0004-0000-0000-0000BC000000}"/>
    <hyperlink ref="F196" r:id="rId190" xr:uid="{00000000-0004-0000-0000-0000BD000000}"/>
    <hyperlink ref="F197" r:id="rId191" xr:uid="{00000000-0004-0000-0000-0000BE000000}"/>
    <hyperlink ref="F198" r:id="rId192" xr:uid="{00000000-0004-0000-0000-0000BF000000}"/>
    <hyperlink ref="F199" r:id="rId193" xr:uid="{00000000-0004-0000-0000-0000C0000000}"/>
    <hyperlink ref="F200" r:id="rId194" xr:uid="{00000000-0004-0000-0000-0000C1000000}"/>
    <hyperlink ref="F201" r:id="rId195" xr:uid="{00000000-0004-0000-0000-0000C2000000}"/>
    <hyperlink ref="F202" r:id="rId196" xr:uid="{00000000-0004-0000-0000-0000C3000000}"/>
    <hyperlink ref="F203" r:id="rId197" xr:uid="{00000000-0004-0000-0000-0000C4000000}"/>
    <hyperlink ref="F204" r:id="rId198" xr:uid="{00000000-0004-0000-0000-0000C5000000}"/>
    <hyperlink ref="F205" r:id="rId199" xr:uid="{00000000-0004-0000-0000-0000C6000000}"/>
    <hyperlink ref="F206" r:id="rId200" xr:uid="{00000000-0004-0000-0000-0000C7000000}"/>
    <hyperlink ref="F207" r:id="rId201" xr:uid="{00000000-0004-0000-0000-0000C8000000}"/>
    <hyperlink ref="F208" r:id="rId202" xr:uid="{00000000-0004-0000-0000-0000C9000000}"/>
    <hyperlink ref="F209" r:id="rId203" xr:uid="{00000000-0004-0000-0000-0000CA000000}"/>
    <hyperlink ref="F210" r:id="rId204" xr:uid="{00000000-0004-0000-0000-0000CB000000}"/>
    <hyperlink ref="F211" r:id="rId205" xr:uid="{00000000-0004-0000-0000-0000CC000000}"/>
    <hyperlink ref="F212" r:id="rId206" xr:uid="{00000000-0004-0000-0000-0000CD000000}"/>
    <hyperlink ref="F213" r:id="rId207" xr:uid="{00000000-0004-0000-0000-0000CE000000}"/>
    <hyperlink ref="F214" r:id="rId208" xr:uid="{00000000-0004-0000-0000-0000CF000000}"/>
    <hyperlink ref="F215" r:id="rId209" xr:uid="{00000000-0004-0000-0000-0000D0000000}"/>
    <hyperlink ref="F216" r:id="rId210" xr:uid="{00000000-0004-0000-0000-0000D1000000}"/>
    <hyperlink ref="F217" r:id="rId211" xr:uid="{00000000-0004-0000-0000-0000D2000000}"/>
    <hyperlink ref="F218" r:id="rId212" xr:uid="{00000000-0004-0000-0000-0000D3000000}"/>
    <hyperlink ref="F219" r:id="rId213" xr:uid="{00000000-0004-0000-0000-0000D4000000}"/>
    <hyperlink ref="F220" r:id="rId214" xr:uid="{00000000-0004-0000-0000-0000D5000000}"/>
    <hyperlink ref="F221" r:id="rId215" xr:uid="{00000000-0004-0000-0000-0000D6000000}"/>
    <hyperlink ref="F222" r:id="rId216" xr:uid="{00000000-0004-0000-0000-0000D7000000}"/>
    <hyperlink ref="F223" r:id="rId217" xr:uid="{00000000-0004-0000-0000-0000D8000000}"/>
    <hyperlink ref="F224" r:id="rId218" xr:uid="{00000000-0004-0000-0000-0000D9000000}"/>
    <hyperlink ref="F225" r:id="rId219" xr:uid="{00000000-0004-0000-0000-0000DA000000}"/>
    <hyperlink ref="F226" r:id="rId220" xr:uid="{00000000-0004-0000-0000-0000DB000000}"/>
    <hyperlink ref="F227" r:id="rId221" xr:uid="{00000000-0004-0000-0000-0000DC000000}"/>
    <hyperlink ref="F228" r:id="rId222" xr:uid="{00000000-0004-0000-0000-0000DD000000}"/>
    <hyperlink ref="F229" r:id="rId223" xr:uid="{00000000-0004-0000-0000-0000DE000000}"/>
    <hyperlink ref="F230" r:id="rId224" xr:uid="{00000000-0004-0000-0000-0000DF000000}"/>
    <hyperlink ref="F231" r:id="rId225" xr:uid="{00000000-0004-0000-0000-0000E0000000}"/>
    <hyperlink ref="F232" r:id="rId226" xr:uid="{00000000-0004-0000-0000-0000E1000000}"/>
    <hyperlink ref="F233" r:id="rId227" xr:uid="{00000000-0004-0000-0000-0000E2000000}"/>
    <hyperlink ref="F234" r:id="rId228" xr:uid="{00000000-0004-0000-0000-0000E3000000}"/>
    <hyperlink ref="F235" r:id="rId229" xr:uid="{00000000-0004-0000-0000-0000E4000000}"/>
    <hyperlink ref="F236" r:id="rId230" xr:uid="{00000000-0004-0000-0000-0000E5000000}"/>
    <hyperlink ref="F237" r:id="rId231" xr:uid="{00000000-0004-0000-0000-0000E6000000}"/>
    <hyperlink ref="F238" r:id="rId232" xr:uid="{00000000-0004-0000-0000-0000E7000000}"/>
    <hyperlink ref="F239" r:id="rId233" xr:uid="{00000000-0004-0000-0000-0000E8000000}"/>
    <hyperlink ref="F240" r:id="rId234" xr:uid="{00000000-0004-0000-0000-0000E9000000}"/>
    <hyperlink ref="F241" r:id="rId235" xr:uid="{00000000-0004-0000-0000-0000EA000000}"/>
    <hyperlink ref="F242" r:id="rId236" xr:uid="{00000000-0004-0000-0000-0000EB000000}"/>
    <hyperlink ref="F243" r:id="rId237" xr:uid="{00000000-0004-0000-0000-0000EC000000}"/>
    <hyperlink ref="F244" r:id="rId238" xr:uid="{00000000-0004-0000-0000-0000ED000000}"/>
    <hyperlink ref="F245" r:id="rId239" xr:uid="{00000000-0004-0000-0000-0000EE000000}"/>
    <hyperlink ref="F246" r:id="rId240" xr:uid="{00000000-0004-0000-0000-0000EF000000}"/>
    <hyperlink ref="F247" r:id="rId241" xr:uid="{00000000-0004-0000-0000-0000F0000000}"/>
    <hyperlink ref="F248" r:id="rId242" xr:uid="{00000000-0004-0000-0000-0000F1000000}"/>
    <hyperlink ref="F249" r:id="rId243" xr:uid="{00000000-0004-0000-0000-0000F2000000}"/>
    <hyperlink ref="F250" r:id="rId244" xr:uid="{00000000-0004-0000-0000-0000F3000000}"/>
    <hyperlink ref="F251" r:id="rId245" xr:uid="{00000000-0004-0000-0000-0000F4000000}"/>
    <hyperlink ref="F252" r:id="rId246" xr:uid="{00000000-0004-0000-0000-0000F5000000}"/>
    <hyperlink ref="F253" r:id="rId247" xr:uid="{00000000-0004-0000-0000-0000F6000000}"/>
    <hyperlink ref="F254" r:id="rId248" xr:uid="{00000000-0004-0000-0000-0000F7000000}"/>
    <hyperlink ref="F255" r:id="rId249" xr:uid="{00000000-0004-0000-0000-0000F8000000}"/>
    <hyperlink ref="F256" r:id="rId250" xr:uid="{00000000-0004-0000-0000-0000F9000000}"/>
    <hyperlink ref="F257" r:id="rId251" xr:uid="{00000000-0004-0000-0000-0000FA000000}"/>
    <hyperlink ref="F258" r:id="rId252" xr:uid="{00000000-0004-0000-0000-0000FB000000}"/>
    <hyperlink ref="F259" r:id="rId253" xr:uid="{00000000-0004-0000-0000-0000FC000000}"/>
    <hyperlink ref="F260" r:id="rId254" xr:uid="{00000000-0004-0000-0000-0000FD000000}"/>
    <hyperlink ref="F261" r:id="rId255" xr:uid="{00000000-0004-0000-0000-0000FE000000}"/>
    <hyperlink ref="F262" r:id="rId256" xr:uid="{00000000-0004-0000-0000-0000FF000000}"/>
    <hyperlink ref="F263" r:id="rId257" xr:uid="{00000000-0004-0000-0000-000000010000}"/>
    <hyperlink ref="F264" r:id="rId258" xr:uid="{00000000-0004-0000-0000-000001010000}"/>
    <hyperlink ref="F265" r:id="rId259" xr:uid="{00000000-0004-0000-0000-000002010000}"/>
    <hyperlink ref="F266" r:id="rId260" xr:uid="{00000000-0004-0000-0000-000003010000}"/>
    <hyperlink ref="F267" r:id="rId261" xr:uid="{00000000-0004-0000-0000-000004010000}"/>
    <hyperlink ref="F268" r:id="rId262" xr:uid="{00000000-0004-0000-0000-000005010000}"/>
    <hyperlink ref="F269" r:id="rId263" xr:uid="{00000000-0004-0000-0000-000006010000}"/>
    <hyperlink ref="F270" r:id="rId264" xr:uid="{00000000-0004-0000-0000-000007010000}"/>
    <hyperlink ref="F271" r:id="rId265" xr:uid="{00000000-0004-0000-0000-000008010000}"/>
    <hyperlink ref="F272" r:id="rId266" xr:uid="{00000000-0004-0000-0000-000009010000}"/>
    <hyperlink ref="F273" r:id="rId267" xr:uid="{00000000-0004-0000-0000-00000A010000}"/>
    <hyperlink ref="F274" r:id="rId268" xr:uid="{00000000-0004-0000-0000-00000B010000}"/>
    <hyperlink ref="F275" r:id="rId269" xr:uid="{00000000-0004-0000-0000-00000C010000}"/>
    <hyperlink ref="F276" r:id="rId270" xr:uid="{00000000-0004-0000-0000-00000D010000}"/>
    <hyperlink ref="F277" r:id="rId271" xr:uid="{00000000-0004-0000-0000-00000E010000}"/>
    <hyperlink ref="F278" r:id="rId272" xr:uid="{00000000-0004-0000-0000-00000F010000}"/>
    <hyperlink ref="F279" r:id="rId273" xr:uid="{00000000-0004-0000-0000-000010010000}"/>
    <hyperlink ref="F280" r:id="rId274" xr:uid="{00000000-0004-0000-0000-000011010000}"/>
    <hyperlink ref="F281" r:id="rId275" xr:uid="{00000000-0004-0000-0000-000012010000}"/>
    <hyperlink ref="F282" r:id="rId276" xr:uid="{00000000-0004-0000-0000-000013010000}"/>
    <hyperlink ref="F283" r:id="rId277" xr:uid="{00000000-0004-0000-0000-000014010000}"/>
    <hyperlink ref="F284" r:id="rId278" xr:uid="{00000000-0004-0000-0000-000015010000}"/>
    <hyperlink ref="F285" r:id="rId279" xr:uid="{00000000-0004-0000-0000-000016010000}"/>
    <hyperlink ref="F286" r:id="rId280" xr:uid="{00000000-0004-0000-0000-000017010000}"/>
    <hyperlink ref="F287" r:id="rId281" xr:uid="{00000000-0004-0000-0000-000018010000}"/>
    <hyperlink ref="F288" r:id="rId282" xr:uid="{00000000-0004-0000-0000-000019010000}"/>
    <hyperlink ref="F289" r:id="rId283" xr:uid="{00000000-0004-0000-0000-00001A010000}"/>
    <hyperlink ref="F290" r:id="rId284" xr:uid="{00000000-0004-0000-0000-00001B010000}"/>
    <hyperlink ref="F291" r:id="rId285" xr:uid="{00000000-0004-0000-0000-00001C010000}"/>
    <hyperlink ref="F292" r:id="rId286" xr:uid="{00000000-0004-0000-0000-00001D010000}"/>
    <hyperlink ref="F293" r:id="rId287" xr:uid="{00000000-0004-0000-0000-00001E010000}"/>
    <hyperlink ref="F294" r:id="rId288" xr:uid="{00000000-0004-0000-0000-00001F010000}"/>
    <hyperlink ref="F295" r:id="rId289" xr:uid="{00000000-0004-0000-0000-000020010000}"/>
    <hyperlink ref="F296" r:id="rId290" xr:uid="{00000000-0004-0000-0000-000021010000}"/>
    <hyperlink ref="F297" r:id="rId291" xr:uid="{00000000-0004-0000-0000-000022010000}"/>
    <hyperlink ref="F298" r:id="rId292" xr:uid="{00000000-0004-0000-0000-000023010000}"/>
    <hyperlink ref="F299" r:id="rId293" xr:uid="{00000000-0004-0000-0000-000024010000}"/>
    <hyperlink ref="F300" r:id="rId294" xr:uid="{00000000-0004-0000-0000-000025010000}"/>
    <hyperlink ref="F301" r:id="rId295" xr:uid="{00000000-0004-0000-0000-000026010000}"/>
    <hyperlink ref="F302" r:id="rId296" xr:uid="{00000000-0004-0000-0000-000027010000}"/>
    <hyperlink ref="F303" r:id="rId297" xr:uid="{00000000-0004-0000-0000-000028010000}"/>
    <hyperlink ref="F304" r:id="rId298" xr:uid="{00000000-0004-0000-0000-000029010000}"/>
    <hyperlink ref="F305" r:id="rId299" xr:uid="{00000000-0004-0000-0000-00002A010000}"/>
    <hyperlink ref="F306" r:id="rId300" xr:uid="{00000000-0004-0000-0000-00002B010000}"/>
    <hyperlink ref="F307" r:id="rId301" xr:uid="{00000000-0004-0000-0000-00002C010000}"/>
    <hyperlink ref="F308" r:id="rId302" xr:uid="{00000000-0004-0000-0000-00002D010000}"/>
    <hyperlink ref="F309" r:id="rId303" xr:uid="{00000000-0004-0000-0000-00002E010000}"/>
    <hyperlink ref="F310" r:id="rId304" xr:uid="{00000000-0004-0000-0000-00002F010000}"/>
    <hyperlink ref="F311" r:id="rId305" xr:uid="{00000000-0004-0000-0000-000030010000}"/>
    <hyperlink ref="F312" r:id="rId306" xr:uid="{00000000-0004-0000-0000-000031010000}"/>
    <hyperlink ref="F313" r:id="rId307" xr:uid="{00000000-0004-0000-0000-000032010000}"/>
    <hyperlink ref="F314" r:id="rId308" xr:uid="{00000000-0004-0000-0000-000033010000}"/>
    <hyperlink ref="F315" r:id="rId309" xr:uid="{00000000-0004-0000-0000-000034010000}"/>
    <hyperlink ref="F316" r:id="rId310" xr:uid="{00000000-0004-0000-0000-000035010000}"/>
    <hyperlink ref="F317" r:id="rId311" xr:uid="{00000000-0004-0000-0000-000036010000}"/>
    <hyperlink ref="F318" r:id="rId312" xr:uid="{00000000-0004-0000-0000-000037010000}"/>
    <hyperlink ref="F319" r:id="rId313" xr:uid="{00000000-0004-0000-0000-000038010000}"/>
    <hyperlink ref="F320" r:id="rId314" xr:uid="{00000000-0004-0000-0000-000039010000}"/>
    <hyperlink ref="F321" r:id="rId315" xr:uid="{00000000-0004-0000-0000-00003A010000}"/>
    <hyperlink ref="F322" r:id="rId316" xr:uid="{00000000-0004-0000-0000-00003B010000}"/>
    <hyperlink ref="F323" r:id="rId317" xr:uid="{00000000-0004-0000-0000-00003C010000}"/>
    <hyperlink ref="F324" r:id="rId318" xr:uid="{00000000-0004-0000-0000-00003D010000}"/>
    <hyperlink ref="F325" r:id="rId319" xr:uid="{00000000-0004-0000-0000-00003E010000}"/>
    <hyperlink ref="F326" r:id="rId320" xr:uid="{00000000-0004-0000-0000-00003F010000}"/>
    <hyperlink ref="F327" r:id="rId321" xr:uid="{00000000-0004-0000-0000-000040010000}"/>
    <hyperlink ref="F328" r:id="rId322" xr:uid="{00000000-0004-0000-0000-000041010000}"/>
    <hyperlink ref="F329" r:id="rId323" xr:uid="{00000000-0004-0000-0000-000042010000}"/>
    <hyperlink ref="F330" r:id="rId324" xr:uid="{00000000-0004-0000-0000-000043010000}"/>
    <hyperlink ref="F331" r:id="rId325" xr:uid="{00000000-0004-0000-0000-000044010000}"/>
    <hyperlink ref="F332" r:id="rId326" xr:uid="{00000000-0004-0000-0000-000045010000}"/>
    <hyperlink ref="F333" r:id="rId327" xr:uid="{00000000-0004-0000-0000-000046010000}"/>
    <hyperlink ref="F334" r:id="rId328" xr:uid="{00000000-0004-0000-0000-000047010000}"/>
    <hyperlink ref="F335" r:id="rId329" xr:uid="{00000000-0004-0000-0000-000048010000}"/>
    <hyperlink ref="F336" r:id="rId330" xr:uid="{00000000-0004-0000-0000-000049010000}"/>
    <hyperlink ref="F337" r:id="rId331" xr:uid="{00000000-0004-0000-0000-00004A010000}"/>
    <hyperlink ref="F338" r:id="rId332" xr:uid="{00000000-0004-0000-0000-00004B010000}"/>
    <hyperlink ref="F339" r:id="rId333" xr:uid="{00000000-0004-0000-0000-00004C010000}"/>
    <hyperlink ref="F340" r:id="rId334" xr:uid="{00000000-0004-0000-0000-00004D010000}"/>
    <hyperlink ref="F341" r:id="rId335" xr:uid="{00000000-0004-0000-0000-00004E010000}"/>
    <hyperlink ref="F342" r:id="rId336" xr:uid="{00000000-0004-0000-0000-00004F010000}"/>
    <hyperlink ref="F343" r:id="rId337" xr:uid="{00000000-0004-0000-0000-000050010000}"/>
    <hyperlink ref="F344" r:id="rId338" xr:uid="{00000000-0004-0000-0000-000051010000}"/>
    <hyperlink ref="F345" r:id="rId339" xr:uid="{00000000-0004-0000-0000-000052010000}"/>
    <hyperlink ref="F346" r:id="rId340" xr:uid="{00000000-0004-0000-0000-000053010000}"/>
    <hyperlink ref="F347" r:id="rId341" xr:uid="{00000000-0004-0000-0000-000054010000}"/>
    <hyperlink ref="F348" r:id="rId342" xr:uid="{00000000-0004-0000-0000-000055010000}"/>
    <hyperlink ref="F349" r:id="rId343" xr:uid="{00000000-0004-0000-0000-000056010000}"/>
    <hyperlink ref="F350" r:id="rId344" xr:uid="{00000000-0004-0000-0000-000057010000}"/>
    <hyperlink ref="F351" r:id="rId345" xr:uid="{00000000-0004-0000-0000-000058010000}"/>
    <hyperlink ref="F352" r:id="rId346" xr:uid="{00000000-0004-0000-0000-000059010000}"/>
    <hyperlink ref="F353" r:id="rId347" xr:uid="{00000000-0004-0000-0000-00005A010000}"/>
    <hyperlink ref="F354" r:id="rId348" xr:uid="{00000000-0004-0000-0000-00005B010000}"/>
    <hyperlink ref="F355" r:id="rId349" xr:uid="{00000000-0004-0000-0000-00005C010000}"/>
    <hyperlink ref="F356" r:id="rId350" xr:uid="{00000000-0004-0000-0000-00005D010000}"/>
    <hyperlink ref="F357" r:id="rId351" xr:uid="{00000000-0004-0000-0000-00005E010000}"/>
    <hyperlink ref="F358" r:id="rId352" xr:uid="{00000000-0004-0000-0000-00005F010000}"/>
    <hyperlink ref="F359" r:id="rId353" xr:uid="{00000000-0004-0000-0000-000060010000}"/>
    <hyperlink ref="F360" r:id="rId354" xr:uid="{00000000-0004-0000-0000-000061010000}"/>
    <hyperlink ref="F361" r:id="rId355" xr:uid="{00000000-0004-0000-0000-000062010000}"/>
    <hyperlink ref="F362" r:id="rId356" xr:uid="{00000000-0004-0000-0000-000063010000}"/>
    <hyperlink ref="F363" r:id="rId357" xr:uid="{00000000-0004-0000-0000-000064010000}"/>
    <hyperlink ref="F364" r:id="rId358" xr:uid="{00000000-0004-0000-0000-000065010000}"/>
    <hyperlink ref="F365" r:id="rId359" xr:uid="{00000000-0004-0000-0000-000066010000}"/>
    <hyperlink ref="F366" r:id="rId360" xr:uid="{00000000-0004-0000-0000-000067010000}"/>
    <hyperlink ref="F367" r:id="rId361" xr:uid="{00000000-0004-0000-0000-000068010000}"/>
    <hyperlink ref="F368" r:id="rId362" xr:uid="{00000000-0004-0000-0000-000069010000}"/>
    <hyperlink ref="F369" r:id="rId363" xr:uid="{00000000-0004-0000-0000-00006A010000}"/>
    <hyperlink ref="F370" r:id="rId364" xr:uid="{00000000-0004-0000-0000-00006B010000}"/>
    <hyperlink ref="F371" r:id="rId365" xr:uid="{00000000-0004-0000-0000-00006C010000}"/>
    <hyperlink ref="F372" r:id="rId366" xr:uid="{00000000-0004-0000-0000-00006D010000}"/>
    <hyperlink ref="F373" r:id="rId367" xr:uid="{00000000-0004-0000-0000-00006E010000}"/>
    <hyperlink ref="F374" r:id="rId368" xr:uid="{00000000-0004-0000-0000-00006F010000}"/>
    <hyperlink ref="F375" r:id="rId369" xr:uid="{00000000-0004-0000-0000-000070010000}"/>
    <hyperlink ref="F376" r:id="rId370" xr:uid="{00000000-0004-0000-0000-000071010000}"/>
    <hyperlink ref="F377" r:id="rId371" xr:uid="{00000000-0004-0000-0000-000072010000}"/>
    <hyperlink ref="F378" r:id="rId372" xr:uid="{00000000-0004-0000-0000-000073010000}"/>
    <hyperlink ref="F379" r:id="rId373" xr:uid="{00000000-0004-0000-0000-000074010000}"/>
    <hyperlink ref="F380" r:id="rId374" xr:uid="{00000000-0004-0000-0000-000075010000}"/>
    <hyperlink ref="F381" r:id="rId375" xr:uid="{00000000-0004-0000-0000-000076010000}"/>
    <hyperlink ref="F382" r:id="rId376" xr:uid="{00000000-0004-0000-0000-000077010000}"/>
    <hyperlink ref="F383" r:id="rId377" xr:uid="{00000000-0004-0000-0000-000078010000}"/>
    <hyperlink ref="F384" r:id="rId378" xr:uid="{00000000-0004-0000-0000-000079010000}"/>
    <hyperlink ref="F385" r:id="rId379" xr:uid="{00000000-0004-0000-0000-00007A010000}"/>
    <hyperlink ref="F386" r:id="rId380" xr:uid="{00000000-0004-0000-0000-00007B010000}"/>
    <hyperlink ref="F387" r:id="rId381" xr:uid="{00000000-0004-0000-0000-00007C010000}"/>
    <hyperlink ref="F388" r:id="rId382" xr:uid="{00000000-0004-0000-0000-00007D010000}"/>
    <hyperlink ref="F389" r:id="rId383" xr:uid="{00000000-0004-0000-0000-00007E010000}"/>
    <hyperlink ref="F390" r:id="rId384" xr:uid="{00000000-0004-0000-0000-00007F010000}"/>
    <hyperlink ref="F391" r:id="rId385" xr:uid="{00000000-0004-0000-0000-000080010000}"/>
    <hyperlink ref="F392" r:id="rId386" xr:uid="{00000000-0004-0000-0000-000081010000}"/>
    <hyperlink ref="F393" r:id="rId387" xr:uid="{00000000-0004-0000-0000-000082010000}"/>
    <hyperlink ref="F394" r:id="rId388" xr:uid="{00000000-0004-0000-0000-000083010000}"/>
    <hyperlink ref="F395" r:id="rId389" xr:uid="{00000000-0004-0000-0000-000084010000}"/>
    <hyperlink ref="F396" r:id="rId390" xr:uid="{00000000-0004-0000-0000-000085010000}"/>
    <hyperlink ref="F397" r:id="rId391" xr:uid="{00000000-0004-0000-0000-000086010000}"/>
    <hyperlink ref="F398" r:id="rId392" xr:uid="{00000000-0004-0000-0000-000087010000}"/>
    <hyperlink ref="F399" r:id="rId393" xr:uid="{00000000-0004-0000-0000-000088010000}"/>
    <hyperlink ref="F400" r:id="rId394" xr:uid="{00000000-0004-0000-0000-000089010000}"/>
    <hyperlink ref="F401" r:id="rId395" xr:uid="{00000000-0004-0000-0000-00008A010000}"/>
    <hyperlink ref="F402" r:id="rId396" xr:uid="{00000000-0004-0000-0000-00008B010000}"/>
    <hyperlink ref="F403" r:id="rId397" xr:uid="{00000000-0004-0000-0000-00008C010000}"/>
    <hyperlink ref="F404" r:id="rId398" xr:uid="{00000000-0004-0000-0000-00008D010000}"/>
    <hyperlink ref="F405" r:id="rId399" xr:uid="{00000000-0004-0000-0000-00008E010000}"/>
    <hyperlink ref="F406" r:id="rId400" xr:uid="{00000000-0004-0000-0000-00008F010000}"/>
    <hyperlink ref="F407" r:id="rId401" xr:uid="{00000000-0004-0000-0000-000090010000}"/>
    <hyperlink ref="F408" r:id="rId402" xr:uid="{00000000-0004-0000-0000-000091010000}"/>
    <hyperlink ref="F409" r:id="rId403" xr:uid="{00000000-0004-0000-0000-000092010000}"/>
    <hyperlink ref="F410" r:id="rId404" xr:uid="{00000000-0004-0000-0000-000093010000}"/>
    <hyperlink ref="F411" r:id="rId405" xr:uid="{00000000-0004-0000-0000-000094010000}"/>
    <hyperlink ref="F412" r:id="rId406" xr:uid="{00000000-0004-0000-0000-000095010000}"/>
    <hyperlink ref="F413" r:id="rId407" xr:uid="{00000000-0004-0000-0000-000096010000}"/>
    <hyperlink ref="F414" r:id="rId408" xr:uid="{00000000-0004-0000-0000-000097010000}"/>
    <hyperlink ref="F415" r:id="rId409" xr:uid="{00000000-0004-0000-0000-000098010000}"/>
    <hyperlink ref="F416" r:id="rId410" xr:uid="{00000000-0004-0000-0000-000099010000}"/>
    <hyperlink ref="F417" r:id="rId411" xr:uid="{00000000-0004-0000-0000-00009A010000}"/>
    <hyperlink ref="F418" r:id="rId412" xr:uid="{00000000-0004-0000-0000-00009B010000}"/>
    <hyperlink ref="F419" r:id="rId413" xr:uid="{00000000-0004-0000-0000-00009C010000}"/>
    <hyperlink ref="F420" r:id="rId414" xr:uid="{00000000-0004-0000-0000-00009D010000}"/>
    <hyperlink ref="F421" r:id="rId415" xr:uid="{00000000-0004-0000-0000-00009E010000}"/>
    <hyperlink ref="F422" r:id="rId416" xr:uid="{00000000-0004-0000-0000-00009F010000}"/>
    <hyperlink ref="F423" r:id="rId417" xr:uid="{00000000-0004-0000-0000-0000A0010000}"/>
    <hyperlink ref="F424" r:id="rId418" xr:uid="{00000000-0004-0000-0000-0000A1010000}"/>
    <hyperlink ref="F425" r:id="rId419" xr:uid="{00000000-0004-0000-0000-0000A2010000}"/>
    <hyperlink ref="F426" r:id="rId420" xr:uid="{00000000-0004-0000-0000-0000A3010000}"/>
    <hyperlink ref="F427" r:id="rId421" xr:uid="{00000000-0004-0000-0000-0000A4010000}"/>
    <hyperlink ref="F428" r:id="rId422" xr:uid="{00000000-0004-0000-0000-0000A5010000}"/>
    <hyperlink ref="F429" r:id="rId423" xr:uid="{00000000-0004-0000-0000-0000A6010000}"/>
    <hyperlink ref="F430" r:id="rId424" xr:uid="{00000000-0004-0000-0000-0000A7010000}"/>
    <hyperlink ref="F431" r:id="rId425" xr:uid="{00000000-0004-0000-0000-0000A8010000}"/>
    <hyperlink ref="F432" r:id="rId426" xr:uid="{00000000-0004-0000-0000-0000A9010000}"/>
    <hyperlink ref="F433" r:id="rId427" xr:uid="{00000000-0004-0000-0000-0000AA010000}"/>
    <hyperlink ref="F434" r:id="rId428" xr:uid="{00000000-0004-0000-0000-0000AB010000}"/>
    <hyperlink ref="F435" r:id="rId429" xr:uid="{00000000-0004-0000-0000-0000AC010000}"/>
    <hyperlink ref="F436" r:id="rId430" xr:uid="{00000000-0004-0000-0000-0000AD010000}"/>
    <hyperlink ref="F437" r:id="rId431" xr:uid="{00000000-0004-0000-0000-0000AE010000}"/>
    <hyperlink ref="F438" r:id="rId432" xr:uid="{00000000-0004-0000-0000-0000AF010000}"/>
    <hyperlink ref="F439" r:id="rId433" xr:uid="{00000000-0004-0000-0000-0000B0010000}"/>
    <hyperlink ref="F440" r:id="rId434" xr:uid="{00000000-0004-0000-0000-0000B1010000}"/>
    <hyperlink ref="F441" r:id="rId435" xr:uid="{00000000-0004-0000-0000-0000B2010000}"/>
    <hyperlink ref="F442" r:id="rId436" xr:uid="{00000000-0004-0000-0000-0000B3010000}"/>
    <hyperlink ref="F443" r:id="rId437" xr:uid="{00000000-0004-0000-0000-0000B4010000}"/>
    <hyperlink ref="F444" r:id="rId438" xr:uid="{00000000-0004-0000-0000-0000B5010000}"/>
    <hyperlink ref="F445" r:id="rId439" xr:uid="{00000000-0004-0000-0000-0000B6010000}"/>
    <hyperlink ref="F446" r:id="rId440" xr:uid="{00000000-0004-0000-0000-0000B7010000}"/>
    <hyperlink ref="F447" r:id="rId441" xr:uid="{00000000-0004-0000-0000-0000B8010000}"/>
    <hyperlink ref="F448" r:id="rId442" xr:uid="{00000000-0004-0000-0000-0000B9010000}"/>
    <hyperlink ref="F449" r:id="rId443" xr:uid="{00000000-0004-0000-0000-0000BA010000}"/>
    <hyperlink ref="F450" r:id="rId444" xr:uid="{00000000-0004-0000-0000-0000BB010000}"/>
    <hyperlink ref="F451" r:id="rId445" xr:uid="{00000000-0004-0000-0000-0000BC010000}"/>
    <hyperlink ref="F452" r:id="rId446" xr:uid="{00000000-0004-0000-0000-0000BD010000}"/>
    <hyperlink ref="F453" r:id="rId447" xr:uid="{00000000-0004-0000-0000-0000BE010000}"/>
    <hyperlink ref="F454" r:id="rId448" xr:uid="{00000000-0004-0000-0000-0000BF010000}"/>
    <hyperlink ref="F455" r:id="rId449" xr:uid="{00000000-0004-0000-0000-0000C0010000}"/>
    <hyperlink ref="F456" r:id="rId450" xr:uid="{00000000-0004-0000-0000-0000C1010000}"/>
    <hyperlink ref="F457" r:id="rId451" xr:uid="{00000000-0004-0000-0000-0000C2010000}"/>
    <hyperlink ref="F458" r:id="rId452" xr:uid="{00000000-0004-0000-0000-0000C3010000}"/>
    <hyperlink ref="F459" r:id="rId453" xr:uid="{00000000-0004-0000-0000-0000C4010000}"/>
    <hyperlink ref="F460" r:id="rId454" xr:uid="{00000000-0004-0000-0000-0000C5010000}"/>
    <hyperlink ref="F461" r:id="rId455" xr:uid="{00000000-0004-0000-0000-0000C6010000}"/>
    <hyperlink ref="F462" r:id="rId456" xr:uid="{00000000-0004-0000-0000-0000C7010000}"/>
    <hyperlink ref="F463" r:id="rId457" xr:uid="{00000000-0004-0000-0000-0000C8010000}"/>
    <hyperlink ref="F464" r:id="rId458" xr:uid="{00000000-0004-0000-0000-0000C9010000}"/>
    <hyperlink ref="F465" r:id="rId459" xr:uid="{00000000-0004-0000-0000-0000CA010000}"/>
    <hyperlink ref="F466" r:id="rId460" xr:uid="{00000000-0004-0000-0000-0000CB010000}"/>
    <hyperlink ref="F467" r:id="rId461" xr:uid="{00000000-0004-0000-0000-0000CC010000}"/>
    <hyperlink ref="F468" r:id="rId462" xr:uid="{00000000-0004-0000-0000-0000CD010000}"/>
    <hyperlink ref="F469" r:id="rId463" xr:uid="{00000000-0004-0000-0000-0000CE010000}"/>
    <hyperlink ref="F470" r:id="rId464" xr:uid="{00000000-0004-0000-0000-0000CF010000}"/>
    <hyperlink ref="F471" r:id="rId465" xr:uid="{00000000-0004-0000-0000-0000D0010000}"/>
    <hyperlink ref="F472" r:id="rId466" xr:uid="{00000000-0004-0000-0000-0000D1010000}"/>
    <hyperlink ref="F473" r:id="rId467" xr:uid="{00000000-0004-0000-0000-0000D2010000}"/>
    <hyperlink ref="F474" r:id="rId468" xr:uid="{00000000-0004-0000-0000-0000D3010000}"/>
    <hyperlink ref="F475" r:id="rId469" xr:uid="{00000000-0004-0000-0000-0000D4010000}"/>
    <hyperlink ref="F476" r:id="rId470" xr:uid="{00000000-0004-0000-0000-0000D5010000}"/>
    <hyperlink ref="F477" r:id="rId471" xr:uid="{00000000-0004-0000-0000-0000D6010000}"/>
    <hyperlink ref="F478" r:id="rId472" xr:uid="{00000000-0004-0000-0000-0000D7010000}"/>
    <hyperlink ref="F479" r:id="rId473" xr:uid="{00000000-0004-0000-0000-0000D8010000}"/>
    <hyperlink ref="F480" r:id="rId474" xr:uid="{00000000-0004-0000-0000-0000D9010000}"/>
    <hyperlink ref="F481" r:id="rId475" xr:uid="{00000000-0004-0000-0000-0000DA010000}"/>
    <hyperlink ref="F482" r:id="rId476" xr:uid="{00000000-0004-0000-0000-0000DB010000}"/>
    <hyperlink ref="F483" r:id="rId477" xr:uid="{00000000-0004-0000-0000-0000DC010000}"/>
    <hyperlink ref="F484" r:id="rId478" xr:uid="{00000000-0004-0000-0000-0000DD010000}"/>
    <hyperlink ref="F485" r:id="rId479" xr:uid="{00000000-0004-0000-0000-0000DE010000}"/>
    <hyperlink ref="F486" r:id="rId480" xr:uid="{00000000-0004-0000-0000-0000DF010000}"/>
    <hyperlink ref="F487" r:id="rId481" xr:uid="{00000000-0004-0000-0000-0000E0010000}"/>
    <hyperlink ref="F488" r:id="rId482" xr:uid="{00000000-0004-0000-0000-0000E1010000}"/>
    <hyperlink ref="F489" r:id="rId483" xr:uid="{00000000-0004-0000-0000-0000E2010000}"/>
    <hyperlink ref="F490" r:id="rId484" xr:uid="{00000000-0004-0000-0000-0000E3010000}"/>
    <hyperlink ref="F491" r:id="rId485" xr:uid="{00000000-0004-0000-0000-0000E4010000}"/>
    <hyperlink ref="F492" r:id="rId486" xr:uid="{00000000-0004-0000-0000-0000E5010000}"/>
    <hyperlink ref="F493" r:id="rId487" xr:uid="{00000000-0004-0000-0000-0000E6010000}"/>
    <hyperlink ref="F494" r:id="rId488" xr:uid="{00000000-0004-0000-0000-0000E7010000}"/>
    <hyperlink ref="F495" r:id="rId489" xr:uid="{00000000-0004-0000-0000-0000E8010000}"/>
    <hyperlink ref="F496" r:id="rId490" xr:uid="{00000000-0004-0000-0000-0000E9010000}"/>
    <hyperlink ref="F497" r:id="rId491" xr:uid="{00000000-0004-0000-0000-0000EA010000}"/>
    <hyperlink ref="F498" r:id="rId492" xr:uid="{00000000-0004-0000-0000-0000EB010000}"/>
    <hyperlink ref="F499" r:id="rId493" xr:uid="{00000000-0004-0000-0000-0000EC010000}"/>
    <hyperlink ref="F500" r:id="rId494" xr:uid="{00000000-0004-0000-0000-0000ED010000}"/>
    <hyperlink ref="F501" r:id="rId495" xr:uid="{00000000-0004-0000-0000-0000EE010000}"/>
    <hyperlink ref="F502" r:id="rId496" xr:uid="{00000000-0004-0000-0000-0000EF010000}"/>
    <hyperlink ref="F503" r:id="rId497" xr:uid="{00000000-0004-0000-0000-0000F0010000}"/>
    <hyperlink ref="F504" r:id="rId498" xr:uid="{00000000-0004-0000-0000-0000F1010000}"/>
    <hyperlink ref="F505" r:id="rId499" xr:uid="{00000000-0004-0000-0000-0000F2010000}"/>
    <hyperlink ref="F506" r:id="rId500" xr:uid="{00000000-0004-0000-0000-0000F3010000}"/>
    <hyperlink ref="F507" r:id="rId501" xr:uid="{00000000-0004-0000-0000-0000F4010000}"/>
    <hyperlink ref="F508" r:id="rId502" xr:uid="{00000000-0004-0000-0000-0000F5010000}"/>
    <hyperlink ref="F509" r:id="rId503" xr:uid="{00000000-0004-0000-0000-0000F6010000}"/>
    <hyperlink ref="F510" r:id="rId504" xr:uid="{00000000-0004-0000-0000-0000F7010000}"/>
    <hyperlink ref="F511" r:id="rId505" xr:uid="{00000000-0004-0000-0000-0000F8010000}"/>
    <hyperlink ref="F512" r:id="rId506" xr:uid="{00000000-0004-0000-0000-0000F9010000}"/>
    <hyperlink ref="F513" r:id="rId507" xr:uid="{00000000-0004-0000-0000-0000FA010000}"/>
    <hyperlink ref="F514" r:id="rId508" xr:uid="{00000000-0004-0000-0000-0000FB010000}"/>
    <hyperlink ref="F515" r:id="rId509" xr:uid="{00000000-0004-0000-0000-0000FC010000}"/>
    <hyperlink ref="F516" r:id="rId510" xr:uid="{00000000-0004-0000-0000-0000FD010000}"/>
    <hyperlink ref="F517" r:id="rId511" xr:uid="{00000000-0004-0000-0000-0000FE010000}"/>
    <hyperlink ref="F518" r:id="rId512" xr:uid="{00000000-0004-0000-0000-0000FF010000}"/>
    <hyperlink ref="F519" r:id="rId513" xr:uid="{00000000-0004-0000-0000-000000020000}"/>
    <hyperlink ref="F520" r:id="rId514" xr:uid="{00000000-0004-0000-0000-000001020000}"/>
    <hyperlink ref="F521" r:id="rId515" xr:uid="{00000000-0004-0000-0000-000002020000}"/>
    <hyperlink ref="F522" r:id="rId516" xr:uid="{00000000-0004-0000-0000-000003020000}"/>
    <hyperlink ref="F523" r:id="rId517" xr:uid="{00000000-0004-0000-0000-000004020000}"/>
    <hyperlink ref="F524" r:id="rId518" xr:uid="{00000000-0004-0000-0000-000005020000}"/>
    <hyperlink ref="F525" r:id="rId519" xr:uid="{00000000-0004-0000-0000-000006020000}"/>
    <hyperlink ref="F526" r:id="rId520" xr:uid="{00000000-0004-0000-0000-000007020000}"/>
    <hyperlink ref="F527" r:id="rId521" xr:uid="{00000000-0004-0000-0000-000008020000}"/>
    <hyperlink ref="F528" r:id="rId522" xr:uid="{00000000-0004-0000-0000-000009020000}"/>
    <hyperlink ref="F529" r:id="rId523" xr:uid="{00000000-0004-0000-0000-00000A020000}"/>
    <hyperlink ref="F530" r:id="rId524" xr:uid="{00000000-0004-0000-0000-00000B020000}"/>
    <hyperlink ref="F531" r:id="rId525" xr:uid="{00000000-0004-0000-0000-00000C020000}"/>
    <hyperlink ref="F532" r:id="rId526" xr:uid="{00000000-0004-0000-0000-00000D020000}"/>
    <hyperlink ref="F533" r:id="rId527" xr:uid="{00000000-0004-0000-0000-00000E020000}"/>
    <hyperlink ref="F534" r:id="rId528" xr:uid="{00000000-0004-0000-0000-00000F020000}"/>
    <hyperlink ref="F535" r:id="rId529" xr:uid="{00000000-0004-0000-0000-000010020000}"/>
    <hyperlink ref="F536" r:id="rId530" xr:uid="{00000000-0004-0000-0000-000011020000}"/>
    <hyperlink ref="F537" r:id="rId531" xr:uid="{00000000-0004-0000-0000-000012020000}"/>
    <hyperlink ref="F538" r:id="rId532" xr:uid="{00000000-0004-0000-0000-000013020000}"/>
    <hyperlink ref="F539" r:id="rId533" xr:uid="{00000000-0004-0000-0000-000014020000}"/>
    <hyperlink ref="F540" r:id="rId534" xr:uid="{00000000-0004-0000-0000-000015020000}"/>
    <hyperlink ref="F541" r:id="rId535" xr:uid="{00000000-0004-0000-0000-000016020000}"/>
    <hyperlink ref="F542" r:id="rId536" xr:uid="{00000000-0004-0000-0000-000017020000}"/>
    <hyperlink ref="F543" r:id="rId537" xr:uid="{00000000-0004-0000-0000-000018020000}"/>
    <hyperlink ref="F544" r:id="rId538" xr:uid="{00000000-0004-0000-0000-000019020000}"/>
    <hyperlink ref="F545" r:id="rId539" xr:uid="{00000000-0004-0000-0000-00001A020000}"/>
    <hyperlink ref="F546" r:id="rId540" xr:uid="{00000000-0004-0000-0000-00001B020000}"/>
    <hyperlink ref="F547" r:id="rId541" xr:uid="{00000000-0004-0000-0000-00001C020000}"/>
    <hyperlink ref="F548" r:id="rId542" xr:uid="{00000000-0004-0000-0000-00001D020000}"/>
    <hyperlink ref="F549" r:id="rId543" xr:uid="{00000000-0004-0000-0000-00001E020000}"/>
    <hyperlink ref="F550" r:id="rId544" xr:uid="{00000000-0004-0000-0000-00001F020000}"/>
    <hyperlink ref="F551" r:id="rId545" xr:uid="{00000000-0004-0000-0000-000020020000}"/>
    <hyperlink ref="F552" r:id="rId546" xr:uid="{00000000-0004-0000-0000-000021020000}"/>
    <hyperlink ref="F553" r:id="rId547" xr:uid="{00000000-0004-0000-0000-000022020000}"/>
    <hyperlink ref="F554" r:id="rId548" xr:uid="{00000000-0004-0000-0000-000023020000}"/>
    <hyperlink ref="F555" r:id="rId549" xr:uid="{00000000-0004-0000-0000-000024020000}"/>
    <hyperlink ref="F556" r:id="rId550" xr:uid="{00000000-0004-0000-0000-000025020000}"/>
    <hyperlink ref="F557" r:id="rId551" xr:uid="{00000000-0004-0000-0000-000026020000}"/>
    <hyperlink ref="F558" r:id="rId552" xr:uid="{00000000-0004-0000-0000-000027020000}"/>
    <hyperlink ref="F559" r:id="rId553" xr:uid="{00000000-0004-0000-0000-000028020000}"/>
    <hyperlink ref="F560" r:id="rId554" xr:uid="{00000000-0004-0000-0000-000029020000}"/>
    <hyperlink ref="F561" r:id="rId555" xr:uid="{00000000-0004-0000-0000-00002A020000}"/>
    <hyperlink ref="F562" r:id="rId556" xr:uid="{00000000-0004-0000-0000-00002B020000}"/>
    <hyperlink ref="F563" r:id="rId557" xr:uid="{00000000-0004-0000-0000-00002C020000}"/>
    <hyperlink ref="F564" r:id="rId558" xr:uid="{00000000-0004-0000-0000-00002D020000}"/>
    <hyperlink ref="F565" r:id="rId559" xr:uid="{00000000-0004-0000-0000-00002E020000}"/>
    <hyperlink ref="F566" r:id="rId560" xr:uid="{00000000-0004-0000-0000-00002F020000}"/>
    <hyperlink ref="F567" r:id="rId561" xr:uid="{00000000-0004-0000-0000-000030020000}"/>
    <hyperlink ref="F568" r:id="rId562" xr:uid="{00000000-0004-0000-0000-000031020000}"/>
    <hyperlink ref="F569" r:id="rId563" xr:uid="{00000000-0004-0000-0000-000032020000}"/>
    <hyperlink ref="F570" r:id="rId564" xr:uid="{00000000-0004-0000-0000-000033020000}"/>
    <hyperlink ref="F571" r:id="rId565" xr:uid="{00000000-0004-0000-0000-000034020000}"/>
    <hyperlink ref="F572" r:id="rId566" xr:uid="{00000000-0004-0000-0000-000035020000}"/>
    <hyperlink ref="F573" r:id="rId567" xr:uid="{00000000-0004-0000-0000-000036020000}"/>
    <hyperlink ref="F574" r:id="rId568" xr:uid="{00000000-0004-0000-0000-000037020000}"/>
    <hyperlink ref="F575" r:id="rId569" xr:uid="{00000000-0004-0000-0000-000038020000}"/>
    <hyperlink ref="F576" r:id="rId570" xr:uid="{00000000-0004-0000-0000-000039020000}"/>
    <hyperlink ref="F577" r:id="rId571" xr:uid="{00000000-0004-0000-0000-00003A020000}"/>
    <hyperlink ref="F578" r:id="rId572" xr:uid="{00000000-0004-0000-0000-00003B020000}"/>
    <hyperlink ref="F579" r:id="rId573" xr:uid="{00000000-0004-0000-0000-00003C020000}"/>
    <hyperlink ref="F580" r:id="rId574" xr:uid="{00000000-0004-0000-0000-00003D020000}"/>
    <hyperlink ref="F581" r:id="rId575" xr:uid="{00000000-0004-0000-0000-00003E020000}"/>
    <hyperlink ref="F582" r:id="rId576" xr:uid="{00000000-0004-0000-0000-00003F020000}"/>
    <hyperlink ref="F583" r:id="rId577" xr:uid="{00000000-0004-0000-0000-000040020000}"/>
    <hyperlink ref="F584" r:id="rId578" xr:uid="{00000000-0004-0000-0000-000041020000}"/>
    <hyperlink ref="F585" r:id="rId579" xr:uid="{00000000-0004-0000-0000-000042020000}"/>
    <hyperlink ref="F586" r:id="rId580" xr:uid="{00000000-0004-0000-0000-000043020000}"/>
    <hyperlink ref="F587" r:id="rId581" xr:uid="{00000000-0004-0000-0000-000044020000}"/>
    <hyperlink ref="F588" r:id="rId582" xr:uid="{00000000-0004-0000-0000-000045020000}"/>
    <hyperlink ref="F589" r:id="rId583" xr:uid="{00000000-0004-0000-0000-000046020000}"/>
    <hyperlink ref="F590" r:id="rId584" xr:uid="{00000000-0004-0000-0000-000047020000}"/>
    <hyperlink ref="F591" r:id="rId585" xr:uid="{00000000-0004-0000-0000-000048020000}"/>
    <hyperlink ref="F592" r:id="rId586" xr:uid="{00000000-0004-0000-0000-000049020000}"/>
    <hyperlink ref="F593" r:id="rId587" xr:uid="{00000000-0004-0000-0000-00004A020000}"/>
    <hyperlink ref="F594" r:id="rId588" xr:uid="{00000000-0004-0000-0000-00004B020000}"/>
    <hyperlink ref="F595" r:id="rId589" xr:uid="{00000000-0004-0000-0000-00004C020000}"/>
    <hyperlink ref="F596" r:id="rId590" xr:uid="{00000000-0004-0000-0000-00004D020000}"/>
    <hyperlink ref="F597" r:id="rId591" xr:uid="{00000000-0004-0000-0000-00004E020000}"/>
    <hyperlink ref="F598" r:id="rId592" xr:uid="{00000000-0004-0000-0000-00004F020000}"/>
    <hyperlink ref="F599" r:id="rId593" xr:uid="{00000000-0004-0000-0000-000050020000}"/>
    <hyperlink ref="F600" r:id="rId594" xr:uid="{00000000-0004-0000-0000-000051020000}"/>
    <hyperlink ref="F601" r:id="rId595" xr:uid="{00000000-0004-0000-0000-000052020000}"/>
    <hyperlink ref="F602" r:id="rId596" xr:uid="{00000000-0004-0000-0000-000053020000}"/>
    <hyperlink ref="F603" r:id="rId597" xr:uid="{00000000-0004-0000-0000-000054020000}"/>
    <hyperlink ref="F604" r:id="rId598" xr:uid="{00000000-0004-0000-0000-000055020000}"/>
    <hyperlink ref="F605" r:id="rId599" xr:uid="{00000000-0004-0000-0000-000056020000}"/>
    <hyperlink ref="F606" r:id="rId600" xr:uid="{00000000-0004-0000-0000-000057020000}"/>
    <hyperlink ref="F607" r:id="rId601" xr:uid="{00000000-0004-0000-0000-000058020000}"/>
    <hyperlink ref="F608" r:id="rId602" xr:uid="{00000000-0004-0000-0000-000059020000}"/>
    <hyperlink ref="F609" r:id="rId603" xr:uid="{00000000-0004-0000-0000-00005A020000}"/>
    <hyperlink ref="F610" r:id="rId604" xr:uid="{00000000-0004-0000-0000-00005B020000}"/>
    <hyperlink ref="F611" r:id="rId605" xr:uid="{00000000-0004-0000-0000-00005C020000}"/>
    <hyperlink ref="F612" r:id="rId606" xr:uid="{00000000-0004-0000-0000-00005D020000}"/>
    <hyperlink ref="F613" r:id="rId607" xr:uid="{00000000-0004-0000-0000-00005E020000}"/>
    <hyperlink ref="F614" r:id="rId608" xr:uid="{00000000-0004-0000-0000-00005F020000}"/>
    <hyperlink ref="F615" r:id="rId609" xr:uid="{00000000-0004-0000-0000-000060020000}"/>
    <hyperlink ref="F616" r:id="rId610" xr:uid="{00000000-0004-0000-0000-000061020000}"/>
    <hyperlink ref="F617" r:id="rId611" xr:uid="{00000000-0004-0000-0000-000062020000}"/>
    <hyperlink ref="F618" r:id="rId612" xr:uid="{00000000-0004-0000-0000-000063020000}"/>
    <hyperlink ref="F619" r:id="rId613" xr:uid="{00000000-0004-0000-0000-000064020000}"/>
    <hyperlink ref="F620" r:id="rId614" xr:uid="{00000000-0004-0000-0000-000065020000}"/>
    <hyperlink ref="F621" r:id="rId615" xr:uid="{00000000-0004-0000-0000-000066020000}"/>
    <hyperlink ref="F622" r:id="rId616" xr:uid="{00000000-0004-0000-0000-000067020000}"/>
    <hyperlink ref="F623" r:id="rId617" xr:uid="{00000000-0004-0000-0000-000068020000}"/>
    <hyperlink ref="F624" r:id="rId618" xr:uid="{00000000-0004-0000-0000-000069020000}"/>
    <hyperlink ref="F625" r:id="rId619" xr:uid="{00000000-0004-0000-0000-00006A020000}"/>
    <hyperlink ref="F626" r:id="rId620" xr:uid="{00000000-0004-0000-0000-00006B020000}"/>
    <hyperlink ref="F627" r:id="rId621" xr:uid="{00000000-0004-0000-0000-00006C020000}"/>
    <hyperlink ref="F628" r:id="rId622" xr:uid="{00000000-0004-0000-0000-00006D020000}"/>
    <hyperlink ref="F629" r:id="rId623" xr:uid="{00000000-0004-0000-0000-00006E020000}"/>
    <hyperlink ref="F630" r:id="rId624" xr:uid="{00000000-0004-0000-0000-00006F020000}"/>
    <hyperlink ref="F631" r:id="rId625" xr:uid="{00000000-0004-0000-0000-000070020000}"/>
    <hyperlink ref="F632" r:id="rId626" xr:uid="{00000000-0004-0000-0000-000071020000}"/>
    <hyperlink ref="F633" r:id="rId627" xr:uid="{00000000-0004-0000-0000-000072020000}"/>
    <hyperlink ref="F634" r:id="rId628" xr:uid="{00000000-0004-0000-0000-000073020000}"/>
    <hyperlink ref="F635" r:id="rId629" xr:uid="{00000000-0004-0000-0000-000074020000}"/>
    <hyperlink ref="F636" r:id="rId630" xr:uid="{00000000-0004-0000-0000-000075020000}"/>
    <hyperlink ref="F637" r:id="rId631" xr:uid="{00000000-0004-0000-0000-000076020000}"/>
    <hyperlink ref="F638" r:id="rId632" xr:uid="{00000000-0004-0000-0000-000077020000}"/>
    <hyperlink ref="F639" r:id="rId633" xr:uid="{00000000-0004-0000-0000-000078020000}"/>
    <hyperlink ref="F640" r:id="rId634" xr:uid="{00000000-0004-0000-0000-000079020000}"/>
    <hyperlink ref="F641" r:id="rId635" xr:uid="{00000000-0004-0000-0000-00007A020000}"/>
    <hyperlink ref="F642" r:id="rId636" xr:uid="{00000000-0004-0000-0000-00007B020000}"/>
    <hyperlink ref="F643" r:id="rId637" xr:uid="{00000000-0004-0000-0000-00007C020000}"/>
    <hyperlink ref="F644" r:id="rId638" xr:uid="{00000000-0004-0000-0000-00007D020000}"/>
    <hyperlink ref="F645" r:id="rId639" xr:uid="{00000000-0004-0000-0000-00007E020000}"/>
    <hyperlink ref="F646" r:id="rId640" xr:uid="{00000000-0004-0000-0000-00007F020000}"/>
    <hyperlink ref="F647" r:id="rId641" xr:uid="{00000000-0004-0000-0000-000080020000}"/>
    <hyperlink ref="F648" r:id="rId642" xr:uid="{00000000-0004-0000-0000-000081020000}"/>
    <hyperlink ref="F649" r:id="rId643" xr:uid="{00000000-0004-0000-0000-000082020000}"/>
    <hyperlink ref="F650" r:id="rId644" xr:uid="{00000000-0004-0000-0000-000083020000}"/>
    <hyperlink ref="F651" r:id="rId645" xr:uid="{00000000-0004-0000-0000-000084020000}"/>
    <hyperlink ref="F652" r:id="rId646" xr:uid="{00000000-0004-0000-0000-000085020000}"/>
    <hyperlink ref="F653" r:id="rId647" xr:uid="{00000000-0004-0000-0000-000086020000}"/>
    <hyperlink ref="F654" r:id="rId648" xr:uid="{00000000-0004-0000-0000-000087020000}"/>
    <hyperlink ref="F655" r:id="rId649" xr:uid="{00000000-0004-0000-0000-000088020000}"/>
    <hyperlink ref="F656" r:id="rId650" xr:uid="{00000000-0004-0000-0000-000089020000}"/>
    <hyperlink ref="F657" r:id="rId651" xr:uid="{00000000-0004-0000-0000-00008A020000}"/>
    <hyperlink ref="F658" r:id="rId652" xr:uid="{00000000-0004-0000-0000-00008B020000}"/>
    <hyperlink ref="F659" r:id="rId653" xr:uid="{00000000-0004-0000-0000-00008C020000}"/>
    <hyperlink ref="F660" r:id="rId654" xr:uid="{00000000-0004-0000-0000-00008D020000}"/>
    <hyperlink ref="F661" r:id="rId655" xr:uid="{00000000-0004-0000-0000-00008E020000}"/>
    <hyperlink ref="F662" r:id="rId656" xr:uid="{00000000-0004-0000-0000-00008F020000}"/>
    <hyperlink ref="F663" r:id="rId657" xr:uid="{00000000-0004-0000-0000-000090020000}"/>
    <hyperlink ref="F664" r:id="rId658" xr:uid="{00000000-0004-0000-0000-000091020000}"/>
    <hyperlink ref="F665" r:id="rId659" xr:uid="{00000000-0004-0000-0000-000092020000}"/>
    <hyperlink ref="F666" r:id="rId660" xr:uid="{00000000-0004-0000-0000-000093020000}"/>
    <hyperlink ref="F667" r:id="rId661" xr:uid="{00000000-0004-0000-0000-000094020000}"/>
    <hyperlink ref="F668" r:id="rId662" xr:uid="{00000000-0004-0000-0000-000095020000}"/>
    <hyperlink ref="F669" r:id="rId663" xr:uid="{00000000-0004-0000-0000-000096020000}"/>
    <hyperlink ref="F670" r:id="rId664" xr:uid="{00000000-0004-0000-0000-000097020000}"/>
    <hyperlink ref="F671" r:id="rId665" xr:uid="{00000000-0004-0000-0000-000098020000}"/>
    <hyperlink ref="F672" r:id="rId666" xr:uid="{00000000-0004-0000-0000-000099020000}"/>
    <hyperlink ref="F673" r:id="rId667" xr:uid="{00000000-0004-0000-0000-00009A020000}"/>
    <hyperlink ref="F674" r:id="rId668" xr:uid="{00000000-0004-0000-0000-00009B020000}"/>
    <hyperlink ref="F675" r:id="rId669" xr:uid="{00000000-0004-0000-0000-00009C020000}"/>
    <hyperlink ref="F676" r:id="rId670" xr:uid="{00000000-0004-0000-0000-00009D020000}"/>
    <hyperlink ref="F677" r:id="rId671" xr:uid="{00000000-0004-0000-0000-00009E020000}"/>
    <hyperlink ref="F678" r:id="rId672" xr:uid="{00000000-0004-0000-0000-00009F020000}"/>
    <hyperlink ref="F679" r:id="rId673" xr:uid="{00000000-0004-0000-0000-0000A0020000}"/>
    <hyperlink ref="F680" r:id="rId674" xr:uid="{00000000-0004-0000-0000-0000A1020000}"/>
    <hyperlink ref="F681" r:id="rId675" xr:uid="{00000000-0004-0000-0000-0000A2020000}"/>
    <hyperlink ref="F682" r:id="rId676" xr:uid="{00000000-0004-0000-0000-0000A3020000}"/>
    <hyperlink ref="F683" r:id="rId677" xr:uid="{00000000-0004-0000-0000-0000A4020000}"/>
    <hyperlink ref="F684" r:id="rId678" xr:uid="{00000000-0004-0000-0000-0000A5020000}"/>
    <hyperlink ref="F685" r:id="rId679" xr:uid="{00000000-0004-0000-0000-0000A6020000}"/>
    <hyperlink ref="F686" r:id="rId680" xr:uid="{00000000-0004-0000-0000-0000A7020000}"/>
    <hyperlink ref="F687" r:id="rId681" xr:uid="{00000000-0004-0000-0000-0000A8020000}"/>
    <hyperlink ref="F688" r:id="rId682" xr:uid="{00000000-0004-0000-0000-0000A9020000}"/>
    <hyperlink ref="F689" r:id="rId683" xr:uid="{00000000-0004-0000-0000-0000AA020000}"/>
    <hyperlink ref="F690" r:id="rId684" xr:uid="{00000000-0004-0000-0000-0000AB020000}"/>
    <hyperlink ref="F691" r:id="rId685" xr:uid="{00000000-0004-0000-0000-0000AC020000}"/>
    <hyperlink ref="F692" r:id="rId686" xr:uid="{00000000-0004-0000-0000-0000AD020000}"/>
    <hyperlink ref="F693" r:id="rId687" xr:uid="{00000000-0004-0000-0000-0000AE020000}"/>
    <hyperlink ref="F694" r:id="rId688" xr:uid="{00000000-0004-0000-0000-0000AF020000}"/>
    <hyperlink ref="F695" r:id="rId689" xr:uid="{00000000-0004-0000-0000-0000B0020000}"/>
    <hyperlink ref="F696" r:id="rId690" xr:uid="{00000000-0004-0000-0000-0000B1020000}"/>
    <hyperlink ref="F697" r:id="rId691" xr:uid="{00000000-0004-0000-0000-0000B2020000}"/>
    <hyperlink ref="F698" r:id="rId692" xr:uid="{00000000-0004-0000-0000-0000B3020000}"/>
    <hyperlink ref="F699" r:id="rId693" xr:uid="{00000000-0004-0000-0000-0000B4020000}"/>
    <hyperlink ref="F700" r:id="rId694" xr:uid="{00000000-0004-0000-0000-0000B5020000}"/>
    <hyperlink ref="F701" r:id="rId695" xr:uid="{00000000-0004-0000-0000-0000B6020000}"/>
    <hyperlink ref="F702" r:id="rId696" xr:uid="{00000000-0004-0000-0000-0000B7020000}"/>
    <hyperlink ref="F703" r:id="rId697" xr:uid="{00000000-0004-0000-0000-0000B8020000}"/>
    <hyperlink ref="F704" r:id="rId698" xr:uid="{00000000-0004-0000-0000-0000B9020000}"/>
    <hyperlink ref="F705" r:id="rId699" xr:uid="{00000000-0004-0000-0000-0000BA020000}"/>
    <hyperlink ref="F706" r:id="rId700" xr:uid="{00000000-0004-0000-0000-0000BB020000}"/>
    <hyperlink ref="F707" r:id="rId701" xr:uid="{00000000-0004-0000-0000-0000BC020000}"/>
    <hyperlink ref="F708" r:id="rId702" xr:uid="{00000000-0004-0000-0000-0000BD020000}"/>
    <hyperlink ref="F709" r:id="rId703" xr:uid="{00000000-0004-0000-0000-0000BE020000}"/>
    <hyperlink ref="F710" r:id="rId704" xr:uid="{00000000-0004-0000-0000-0000BF020000}"/>
    <hyperlink ref="F711" r:id="rId705" xr:uid="{00000000-0004-0000-0000-0000C0020000}"/>
    <hyperlink ref="F712" r:id="rId706" xr:uid="{00000000-0004-0000-0000-0000C1020000}"/>
    <hyperlink ref="F713" r:id="rId707" xr:uid="{00000000-0004-0000-0000-0000C2020000}"/>
    <hyperlink ref="F714" r:id="rId708" xr:uid="{00000000-0004-0000-0000-0000C3020000}"/>
    <hyperlink ref="F715" r:id="rId709" xr:uid="{00000000-0004-0000-0000-0000C4020000}"/>
    <hyperlink ref="F716" r:id="rId710" xr:uid="{00000000-0004-0000-0000-0000C5020000}"/>
    <hyperlink ref="F717" r:id="rId711" xr:uid="{00000000-0004-0000-0000-0000C6020000}"/>
    <hyperlink ref="F718" r:id="rId712" xr:uid="{00000000-0004-0000-0000-0000C7020000}"/>
    <hyperlink ref="F719" r:id="rId713" xr:uid="{00000000-0004-0000-0000-0000C8020000}"/>
    <hyperlink ref="F720" r:id="rId714" xr:uid="{00000000-0004-0000-0000-0000C9020000}"/>
    <hyperlink ref="F721" r:id="rId715" xr:uid="{00000000-0004-0000-0000-0000CA020000}"/>
    <hyperlink ref="F722" r:id="rId716" xr:uid="{00000000-0004-0000-0000-0000CB020000}"/>
    <hyperlink ref="F723" r:id="rId717" xr:uid="{00000000-0004-0000-0000-0000CC020000}"/>
    <hyperlink ref="F724" r:id="rId718" xr:uid="{00000000-0004-0000-0000-0000CD020000}"/>
    <hyperlink ref="F725" r:id="rId719" xr:uid="{00000000-0004-0000-0000-0000CE020000}"/>
    <hyperlink ref="F726" r:id="rId720" xr:uid="{00000000-0004-0000-0000-0000CF020000}"/>
    <hyperlink ref="F727" r:id="rId721" xr:uid="{00000000-0004-0000-0000-0000D0020000}"/>
    <hyperlink ref="F728" r:id="rId722" xr:uid="{00000000-0004-0000-0000-0000D1020000}"/>
    <hyperlink ref="F729" r:id="rId723" xr:uid="{00000000-0004-0000-0000-0000D2020000}"/>
    <hyperlink ref="F730" r:id="rId724" xr:uid="{00000000-0004-0000-0000-0000D3020000}"/>
    <hyperlink ref="F731" r:id="rId725" xr:uid="{00000000-0004-0000-0000-0000D4020000}"/>
    <hyperlink ref="F732" r:id="rId726" xr:uid="{00000000-0004-0000-0000-0000D5020000}"/>
    <hyperlink ref="F733" r:id="rId727" xr:uid="{00000000-0004-0000-0000-0000D6020000}"/>
    <hyperlink ref="F734" r:id="rId728" xr:uid="{00000000-0004-0000-0000-0000D7020000}"/>
    <hyperlink ref="F735" r:id="rId729" xr:uid="{00000000-0004-0000-0000-0000D8020000}"/>
    <hyperlink ref="F736" r:id="rId730" xr:uid="{00000000-0004-0000-0000-0000D9020000}"/>
    <hyperlink ref="F737" r:id="rId731" xr:uid="{00000000-0004-0000-0000-0000DA020000}"/>
    <hyperlink ref="F738" r:id="rId732" xr:uid="{00000000-0004-0000-0000-0000DB020000}"/>
    <hyperlink ref="F739" r:id="rId733" xr:uid="{00000000-0004-0000-0000-0000DC020000}"/>
    <hyperlink ref="F740" r:id="rId734" xr:uid="{00000000-0004-0000-0000-0000DD020000}"/>
    <hyperlink ref="F741" r:id="rId735" xr:uid="{00000000-0004-0000-0000-0000DE020000}"/>
    <hyperlink ref="F742" r:id="rId736" xr:uid="{00000000-0004-0000-0000-0000DF020000}"/>
    <hyperlink ref="F743" r:id="rId737" xr:uid="{00000000-0004-0000-0000-0000E0020000}"/>
    <hyperlink ref="F744" r:id="rId738" xr:uid="{00000000-0004-0000-0000-0000E1020000}"/>
    <hyperlink ref="F745" r:id="rId739" xr:uid="{00000000-0004-0000-0000-0000E2020000}"/>
    <hyperlink ref="F746" r:id="rId740" xr:uid="{00000000-0004-0000-0000-0000E3020000}"/>
    <hyperlink ref="F747" r:id="rId741" xr:uid="{00000000-0004-0000-0000-0000E4020000}"/>
    <hyperlink ref="F748" r:id="rId742" xr:uid="{00000000-0004-0000-0000-0000E5020000}"/>
    <hyperlink ref="F749" r:id="rId743" xr:uid="{00000000-0004-0000-0000-0000E6020000}"/>
    <hyperlink ref="F750" r:id="rId744" xr:uid="{00000000-0004-0000-0000-0000E7020000}"/>
    <hyperlink ref="F751" r:id="rId745" xr:uid="{00000000-0004-0000-0000-0000E8020000}"/>
    <hyperlink ref="F752" r:id="rId746" xr:uid="{00000000-0004-0000-0000-0000E9020000}"/>
    <hyperlink ref="F753" r:id="rId747" xr:uid="{00000000-0004-0000-0000-0000EA020000}"/>
    <hyperlink ref="F754" r:id="rId748" xr:uid="{00000000-0004-0000-0000-0000EB020000}"/>
    <hyperlink ref="F755" r:id="rId749" xr:uid="{00000000-0004-0000-0000-0000EC020000}"/>
    <hyperlink ref="F756" r:id="rId750" xr:uid="{00000000-0004-0000-0000-0000ED020000}"/>
    <hyperlink ref="F757" r:id="rId751" xr:uid="{00000000-0004-0000-0000-0000EE020000}"/>
    <hyperlink ref="F758" r:id="rId752" xr:uid="{00000000-0004-0000-0000-0000EF020000}"/>
    <hyperlink ref="F759" r:id="rId753" xr:uid="{00000000-0004-0000-0000-0000F0020000}"/>
    <hyperlink ref="F760" r:id="rId754" xr:uid="{00000000-0004-0000-0000-0000F1020000}"/>
    <hyperlink ref="F761" r:id="rId755" xr:uid="{00000000-0004-0000-0000-0000F2020000}"/>
    <hyperlink ref="F762" r:id="rId756" xr:uid="{00000000-0004-0000-0000-0000F3020000}"/>
    <hyperlink ref="F763" r:id="rId757" xr:uid="{00000000-0004-0000-0000-0000F4020000}"/>
    <hyperlink ref="F764" r:id="rId758" xr:uid="{00000000-0004-0000-0000-0000F5020000}"/>
    <hyperlink ref="F765" r:id="rId759" xr:uid="{00000000-0004-0000-0000-0000F6020000}"/>
    <hyperlink ref="F766" r:id="rId760" xr:uid="{00000000-0004-0000-0000-0000F7020000}"/>
    <hyperlink ref="F767" r:id="rId761" xr:uid="{00000000-0004-0000-0000-0000F8020000}"/>
    <hyperlink ref="F768" r:id="rId762" xr:uid="{00000000-0004-0000-0000-0000F9020000}"/>
    <hyperlink ref="F769" r:id="rId763" xr:uid="{00000000-0004-0000-0000-0000FA020000}"/>
    <hyperlink ref="F770" r:id="rId764" xr:uid="{00000000-0004-0000-0000-0000FB020000}"/>
    <hyperlink ref="F771" r:id="rId765" xr:uid="{00000000-0004-0000-0000-0000FC020000}"/>
    <hyperlink ref="F772" r:id="rId766" xr:uid="{00000000-0004-0000-0000-0000FD020000}"/>
    <hyperlink ref="F773" r:id="rId767" xr:uid="{00000000-0004-0000-0000-0000FE020000}"/>
    <hyperlink ref="F774" r:id="rId768" xr:uid="{00000000-0004-0000-0000-0000FF020000}"/>
    <hyperlink ref="F775" r:id="rId769" xr:uid="{00000000-0004-0000-0000-000000030000}"/>
    <hyperlink ref="F776" r:id="rId770" xr:uid="{00000000-0004-0000-0000-000001030000}"/>
    <hyperlink ref="F777" r:id="rId771" xr:uid="{00000000-0004-0000-0000-000002030000}"/>
    <hyperlink ref="F778" r:id="rId772" xr:uid="{00000000-0004-0000-0000-000003030000}"/>
    <hyperlink ref="F779" r:id="rId773" xr:uid="{00000000-0004-0000-0000-000004030000}"/>
    <hyperlink ref="F780" r:id="rId774" xr:uid="{00000000-0004-0000-0000-000005030000}"/>
    <hyperlink ref="F781" r:id="rId775" xr:uid="{00000000-0004-0000-0000-000006030000}"/>
    <hyperlink ref="F782" r:id="rId776" xr:uid="{00000000-0004-0000-0000-000007030000}"/>
    <hyperlink ref="F783" r:id="rId777" xr:uid="{00000000-0004-0000-0000-000008030000}"/>
    <hyperlink ref="F784" r:id="rId778" xr:uid="{00000000-0004-0000-0000-000009030000}"/>
    <hyperlink ref="F785" r:id="rId779" xr:uid="{00000000-0004-0000-0000-00000A030000}"/>
    <hyperlink ref="F786" r:id="rId780" xr:uid="{00000000-0004-0000-0000-00000B030000}"/>
    <hyperlink ref="F787" r:id="rId781" xr:uid="{00000000-0004-0000-0000-00000C030000}"/>
    <hyperlink ref="F788" r:id="rId782" xr:uid="{00000000-0004-0000-0000-00000D030000}"/>
    <hyperlink ref="F789" r:id="rId783" xr:uid="{00000000-0004-0000-0000-00000E030000}"/>
    <hyperlink ref="F790" r:id="rId784" xr:uid="{00000000-0004-0000-0000-00000F030000}"/>
    <hyperlink ref="F791" r:id="rId785" xr:uid="{00000000-0004-0000-0000-000010030000}"/>
    <hyperlink ref="F792" r:id="rId786" xr:uid="{00000000-0004-0000-0000-000011030000}"/>
    <hyperlink ref="F793" r:id="rId787" xr:uid="{00000000-0004-0000-0000-000012030000}"/>
    <hyperlink ref="F794" r:id="rId788" xr:uid="{00000000-0004-0000-0000-000013030000}"/>
    <hyperlink ref="F795" r:id="rId789" xr:uid="{00000000-0004-0000-0000-000014030000}"/>
    <hyperlink ref="F796" r:id="rId790" xr:uid="{00000000-0004-0000-0000-000015030000}"/>
    <hyperlink ref="F797" r:id="rId791" xr:uid="{00000000-0004-0000-0000-000016030000}"/>
    <hyperlink ref="F798" r:id="rId792" xr:uid="{00000000-0004-0000-0000-000017030000}"/>
    <hyperlink ref="F799" r:id="rId793" xr:uid="{00000000-0004-0000-0000-000018030000}"/>
    <hyperlink ref="F800" r:id="rId794" xr:uid="{00000000-0004-0000-0000-000019030000}"/>
    <hyperlink ref="F801" r:id="rId795" xr:uid="{00000000-0004-0000-0000-00001A030000}"/>
    <hyperlink ref="F802" r:id="rId796" xr:uid="{00000000-0004-0000-0000-00001B030000}"/>
    <hyperlink ref="F803" r:id="rId797" xr:uid="{00000000-0004-0000-0000-00001C030000}"/>
    <hyperlink ref="F804" r:id="rId798" xr:uid="{00000000-0004-0000-0000-00001D030000}"/>
    <hyperlink ref="F805" r:id="rId799" xr:uid="{00000000-0004-0000-0000-00001E030000}"/>
    <hyperlink ref="F806" r:id="rId800" xr:uid="{00000000-0004-0000-0000-00001F030000}"/>
    <hyperlink ref="F807" r:id="rId801" xr:uid="{00000000-0004-0000-0000-000020030000}"/>
    <hyperlink ref="F808" r:id="rId802" xr:uid="{00000000-0004-0000-0000-000021030000}"/>
    <hyperlink ref="F809" r:id="rId803" xr:uid="{00000000-0004-0000-0000-000022030000}"/>
    <hyperlink ref="F810" r:id="rId804" xr:uid="{00000000-0004-0000-0000-000023030000}"/>
    <hyperlink ref="F811" r:id="rId805" xr:uid="{00000000-0004-0000-0000-000024030000}"/>
    <hyperlink ref="F812" r:id="rId806" xr:uid="{00000000-0004-0000-0000-000025030000}"/>
    <hyperlink ref="F813" r:id="rId807" xr:uid="{00000000-0004-0000-0000-000026030000}"/>
    <hyperlink ref="F814" r:id="rId808" xr:uid="{00000000-0004-0000-0000-000027030000}"/>
    <hyperlink ref="F815" r:id="rId809" xr:uid="{00000000-0004-0000-0000-000028030000}"/>
    <hyperlink ref="F816" r:id="rId810" xr:uid="{00000000-0004-0000-0000-000029030000}"/>
    <hyperlink ref="F817" r:id="rId811" xr:uid="{00000000-0004-0000-0000-00002A030000}"/>
    <hyperlink ref="F818" r:id="rId812" xr:uid="{00000000-0004-0000-0000-00002B030000}"/>
    <hyperlink ref="F819" r:id="rId813" xr:uid="{00000000-0004-0000-0000-00002C030000}"/>
    <hyperlink ref="F820" r:id="rId814" xr:uid="{00000000-0004-0000-0000-00002D030000}"/>
    <hyperlink ref="F821" r:id="rId815" xr:uid="{00000000-0004-0000-0000-00002E030000}"/>
    <hyperlink ref="F822" r:id="rId816" xr:uid="{00000000-0004-0000-0000-00002F030000}"/>
    <hyperlink ref="F823" r:id="rId817" xr:uid="{00000000-0004-0000-0000-000030030000}"/>
    <hyperlink ref="F824" r:id="rId818" xr:uid="{00000000-0004-0000-0000-000031030000}"/>
    <hyperlink ref="F825" r:id="rId819" xr:uid="{00000000-0004-0000-0000-000032030000}"/>
    <hyperlink ref="F826" r:id="rId820" xr:uid="{00000000-0004-0000-0000-000033030000}"/>
    <hyperlink ref="F827" r:id="rId821" xr:uid="{00000000-0004-0000-0000-000034030000}"/>
    <hyperlink ref="F828" r:id="rId822" xr:uid="{00000000-0004-0000-0000-000035030000}"/>
    <hyperlink ref="F829" r:id="rId823" xr:uid="{00000000-0004-0000-0000-000036030000}"/>
    <hyperlink ref="F830" r:id="rId824" xr:uid="{00000000-0004-0000-0000-000037030000}"/>
    <hyperlink ref="F831" r:id="rId825" xr:uid="{00000000-0004-0000-0000-000038030000}"/>
    <hyperlink ref="F832" r:id="rId826" xr:uid="{00000000-0004-0000-0000-000039030000}"/>
    <hyperlink ref="F833" r:id="rId827" xr:uid="{00000000-0004-0000-0000-00003A030000}"/>
    <hyperlink ref="F834" r:id="rId828" xr:uid="{00000000-0004-0000-0000-00003B030000}"/>
    <hyperlink ref="F835" r:id="rId829" xr:uid="{00000000-0004-0000-0000-00003C030000}"/>
    <hyperlink ref="F836" r:id="rId830" xr:uid="{00000000-0004-0000-0000-00003D030000}"/>
    <hyperlink ref="F837" r:id="rId831" xr:uid="{00000000-0004-0000-0000-00003E030000}"/>
    <hyperlink ref="F838" r:id="rId832" xr:uid="{00000000-0004-0000-0000-00003F030000}"/>
    <hyperlink ref="F839" r:id="rId833" xr:uid="{00000000-0004-0000-0000-000040030000}"/>
    <hyperlink ref="F840" r:id="rId834" xr:uid="{00000000-0004-0000-0000-000041030000}"/>
    <hyperlink ref="F841" r:id="rId835" xr:uid="{00000000-0004-0000-0000-000042030000}"/>
    <hyperlink ref="F842" r:id="rId836" xr:uid="{00000000-0004-0000-0000-000043030000}"/>
    <hyperlink ref="F843" r:id="rId837" xr:uid="{00000000-0004-0000-0000-000044030000}"/>
    <hyperlink ref="F844" r:id="rId838" xr:uid="{00000000-0004-0000-0000-000045030000}"/>
    <hyperlink ref="F845" r:id="rId839" xr:uid="{00000000-0004-0000-0000-000046030000}"/>
    <hyperlink ref="F846" r:id="rId840" xr:uid="{00000000-0004-0000-0000-000047030000}"/>
    <hyperlink ref="F847" r:id="rId841" xr:uid="{00000000-0004-0000-0000-000048030000}"/>
    <hyperlink ref="F848" r:id="rId842" xr:uid="{00000000-0004-0000-0000-000049030000}"/>
    <hyperlink ref="F849" r:id="rId843" xr:uid="{00000000-0004-0000-0000-00004A030000}"/>
    <hyperlink ref="F850" r:id="rId844" xr:uid="{00000000-0004-0000-0000-00004B030000}"/>
    <hyperlink ref="F851" r:id="rId845" xr:uid="{00000000-0004-0000-0000-00004C030000}"/>
    <hyperlink ref="F852" r:id="rId846" xr:uid="{00000000-0004-0000-0000-00004D030000}"/>
    <hyperlink ref="F853" r:id="rId847" xr:uid="{00000000-0004-0000-0000-00004E030000}"/>
    <hyperlink ref="F854" r:id="rId848" xr:uid="{00000000-0004-0000-0000-00004F030000}"/>
    <hyperlink ref="F855" r:id="rId849" xr:uid="{00000000-0004-0000-0000-000050030000}"/>
    <hyperlink ref="F856" r:id="rId850" xr:uid="{00000000-0004-0000-0000-000051030000}"/>
    <hyperlink ref="F857" r:id="rId851" xr:uid="{00000000-0004-0000-0000-000052030000}"/>
    <hyperlink ref="F858" r:id="rId852" xr:uid="{00000000-0004-0000-0000-000053030000}"/>
    <hyperlink ref="F859" r:id="rId853" xr:uid="{00000000-0004-0000-0000-000054030000}"/>
    <hyperlink ref="F860" r:id="rId854" xr:uid="{00000000-0004-0000-0000-000055030000}"/>
    <hyperlink ref="F861" r:id="rId855" xr:uid="{00000000-0004-0000-0000-000056030000}"/>
    <hyperlink ref="F862" r:id="rId856" xr:uid="{00000000-0004-0000-0000-000057030000}"/>
    <hyperlink ref="F863" r:id="rId857" xr:uid="{00000000-0004-0000-0000-000058030000}"/>
    <hyperlink ref="F864" r:id="rId858" xr:uid="{00000000-0004-0000-0000-000059030000}"/>
    <hyperlink ref="F865" r:id="rId859" xr:uid="{00000000-0004-0000-0000-00005A030000}"/>
    <hyperlink ref="F866" r:id="rId860" xr:uid="{00000000-0004-0000-0000-00005B030000}"/>
    <hyperlink ref="F867" r:id="rId861" xr:uid="{00000000-0004-0000-0000-00005C030000}"/>
    <hyperlink ref="F868" r:id="rId862" xr:uid="{00000000-0004-0000-0000-00005D030000}"/>
    <hyperlink ref="F869" r:id="rId863" xr:uid="{00000000-0004-0000-0000-00005E030000}"/>
    <hyperlink ref="F870" r:id="rId864" xr:uid="{00000000-0004-0000-0000-00005F030000}"/>
    <hyperlink ref="F871" r:id="rId865" xr:uid="{00000000-0004-0000-0000-000060030000}"/>
    <hyperlink ref="F872" r:id="rId866" xr:uid="{00000000-0004-0000-0000-000061030000}"/>
    <hyperlink ref="F873" r:id="rId867" xr:uid="{00000000-0004-0000-0000-000062030000}"/>
    <hyperlink ref="F874" r:id="rId868" xr:uid="{00000000-0004-0000-0000-000063030000}"/>
    <hyperlink ref="F875" r:id="rId869" xr:uid="{00000000-0004-0000-0000-000064030000}"/>
    <hyperlink ref="F876" r:id="rId870" xr:uid="{00000000-0004-0000-0000-000065030000}"/>
    <hyperlink ref="F877" r:id="rId871" xr:uid="{00000000-0004-0000-0000-000066030000}"/>
    <hyperlink ref="F878" r:id="rId872" xr:uid="{00000000-0004-0000-0000-000067030000}"/>
    <hyperlink ref="F879" r:id="rId873" xr:uid="{00000000-0004-0000-0000-000068030000}"/>
    <hyperlink ref="F880" r:id="rId874" xr:uid="{00000000-0004-0000-0000-000069030000}"/>
    <hyperlink ref="F881" r:id="rId875" xr:uid="{00000000-0004-0000-0000-00006A030000}"/>
    <hyperlink ref="F882" r:id="rId876" xr:uid="{00000000-0004-0000-0000-00006B030000}"/>
    <hyperlink ref="F883" r:id="rId877" xr:uid="{00000000-0004-0000-0000-00006C030000}"/>
    <hyperlink ref="F884" r:id="rId878" xr:uid="{00000000-0004-0000-0000-00006D030000}"/>
    <hyperlink ref="F885" r:id="rId879" xr:uid="{00000000-0004-0000-0000-00006E030000}"/>
    <hyperlink ref="F886" r:id="rId880" xr:uid="{00000000-0004-0000-0000-00006F030000}"/>
    <hyperlink ref="F887" r:id="rId881" xr:uid="{00000000-0004-0000-0000-000070030000}"/>
    <hyperlink ref="F888" r:id="rId882" xr:uid="{00000000-0004-0000-0000-000071030000}"/>
    <hyperlink ref="F889" r:id="rId883" xr:uid="{00000000-0004-0000-0000-000072030000}"/>
    <hyperlink ref="F890" r:id="rId884" xr:uid="{00000000-0004-0000-0000-000073030000}"/>
    <hyperlink ref="F891" r:id="rId885" xr:uid="{00000000-0004-0000-0000-000074030000}"/>
    <hyperlink ref="F892" r:id="rId886" xr:uid="{00000000-0004-0000-0000-000075030000}"/>
    <hyperlink ref="F893" r:id="rId887" xr:uid="{00000000-0004-0000-0000-000076030000}"/>
    <hyperlink ref="F894" r:id="rId888" xr:uid="{00000000-0004-0000-0000-000077030000}"/>
    <hyperlink ref="F895" r:id="rId889" xr:uid="{00000000-0004-0000-0000-000078030000}"/>
    <hyperlink ref="F896" r:id="rId890" xr:uid="{00000000-0004-0000-0000-000079030000}"/>
    <hyperlink ref="F897" r:id="rId891" xr:uid="{00000000-0004-0000-0000-00007A030000}"/>
    <hyperlink ref="F898" r:id="rId892" xr:uid="{00000000-0004-0000-0000-00007B030000}"/>
    <hyperlink ref="F899" r:id="rId893" xr:uid="{00000000-0004-0000-0000-00007C030000}"/>
    <hyperlink ref="F900" r:id="rId894" xr:uid="{00000000-0004-0000-0000-00007D030000}"/>
    <hyperlink ref="F901" r:id="rId895" xr:uid="{00000000-0004-0000-0000-00007E030000}"/>
    <hyperlink ref="F902" r:id="rId896" xr:uid="{00000000-0004-0000-0000-00007F030000}"/>
    <hyperlink ref="F903" r:id="rId897" xr:uid="{00000000-0004-0000-0000-000080030000}"/>
    <hyperlink ref="F904" r:id="rId898" xr:uid="{00000000-0004-0000-0000-000081030000}"/>
    <hyperlink ref="F905" r:id="rId899" xr:uid="{00000000-0004-0000-0000-000082030000}"/>
    <hyperlink ref="F906" r:id="rId900" xr:uid="{00000000-0004-0000-0000-000083030000}"/>
    <hyperlink ref="F907" r:id="rId901" xr:uid="{00000000-0004-0000-0000-000084030000}"/>
    <hyperlink ref="F908" r:id="rId902" xr:uid="{00000000-0004-0000-0000-000085030000}"/>
    <hyperlink ref="F909" r:id="rId903" xr:uid="{00000000-0004-0000-0000-000086030000}"/>
    <hyperlink ref="F910" r:id="rId904" xr:uid="{00000000-0004-0000-0000-000087030000}"/>
    <hyperlink ref="F911" r:id="rId905" xr:uid="{00000000-0004-0000-0000-000088030000}"/>
    <hyperlink ref="F912" r:id="rId906" xr:uid="{00000000-0004-0000-0000-000089030000}"/>
    <hyperlink ref="F913" r:id="rId907" xr:uid="{00000000-0004-0000-0000-00008A030000}"/>
    <hyperlink ref="F914" r:id="rId908" xr:uid="{00000000-0004-0000-0000-00008B030000}"/>
    <hyperlink ref="F915" r:id="rId909" xr:uid="{00000000-0004-0000-0000-00008C030000}"/>
    <hyperlink ref="F916" r:id="rId910" xr:uid="{00000000-0004-0000-0000-00008D030000}"/>
    <hyperlink ref="F917" r:id="rId911" xr:uid="{00000000-0004-0000-0000-00008E030000}"/>
    <hyperlink ref="F918" r:id="rId912" xr:uid="{00000000-0004-0000-0000-00008F030000}"/>
    <hyperlink ref="F919" r:id="rId913" xr:uid="{00000000-0004-0000-0000-000090030000}"/>
    <hyperlink ref="F920" r:id="rId914" xr:uid="{00000000-0004-0000-0000-000091030000}"/>
    <hyperlink ref="F921" r:id="rId915" xr:uid="{00000000-0004-0000-0000-000092030000}"/>
    <hyperlink ref="F922" r:id="rId916" xr:uid="{00000000-0004-0000-0000-000093030000}"/>
    <hyperlink ref="F923" r:id="rId917" xr:uid="{00000000-0004-0000-0000-000094030000}"/>
    <hyperlink ref="F924" r:id="rId918" xr:uid="{00000000-0004-0000-0000-000095030000}"/>
    <hyperlink ref="F925" r:id="rId919" xr:uid="{00000000-0004-0000-0000-000096030000}"/>
    <hyperlink ref="F926" r:id="rId920" xr:uid="{00000000-0004-0000-0000-000097030000}"/>
    <hyperlink ref="F927" r:id="rId921" xr:uid="{00000000-0004-0000-0000-000098030000}"/>
    <hyperlink ref="F928" r:id="rId922" xr:uid="{00000000-0004-0000-0000-000099030000}"/>
    <hyperlink ref="F929" r:id="rId923" xr:uid="{00000000-0004-0000-0000-00009A030000}"/>
    <hyperlink ref="F930" r:id="rId924" xr:uid="{00000000-0004-0000-0000-00009B030000}"/>
    <hyperlink ref="F931" r:id="rId925" xr:uid="{00000000-0004-0000-0000-00009C030000}"/>
    <hyperlink ref="F932" r:id="rId926" xr:uid="{00000000-0004-0000-0000-00009D030000}"/>
    <hyperlink ref="F933" r:id="rId927" xr:uid="{00000000-0004-0000-0000-00009E030000}"/>
    <hyperlink ref="F934" r:id="rId928" xr:uid="{00000000-0004-0000-0000-00009F030000}"/>
    <hyperlink ref="F935" r:id="rId929" xr:uid="{00000000-0004-0000-0000-0000A0030000}"/>
    <hyperlink ref="F936" r:id="rId930" xr:uid="{00000000-0004-0000-0000-0000A1030000}"/>
    <hyperlink ref="F937" r:id="rId931" xr:uid="{00000000-0004-0000-0000-0000A2030000}"/>
    <hyperlink ref="F938" r:id="rId932" xr:uid="{00000000-0004-0000-0000-0000A3030000}"/>
    <hyperlink ref="F939" r:id="rId933" xr:uid="{00000000-0004-0000-0000-0000A4030000}"/>
    <hyperlink ref="F940" r:id="rId934" xr:uid="{00000000-0004-0000-0000-0000A5030000}"/>
    <hyperlink ref="F941" r:id="rId935" xr:uid="{00000000-0004-0000-0000-0000A6030000}"/>
    <hyperlink ref="F942" r:id="rId936" xr:uid="{00000000-0004-0000-0000-0000A7030000}"/>
    <hyperlink ref="F943" r:id="rId937" xr:uid="{00000000-0004-0000-0000-0000A8030000}"/>
    <hyperlink ref="F944" r:id="rId938" xr:uid="{00000000-0004-0000-0000-0000A9030000}"/>
    <hyperlink ref="F945" r:id="rId939" xr:uid="{00000000-0004-0000-0000-0000AA030000}"/>
    <hyperlink ref="F946" r:id="rId940" xr:uid="{00000000-0004-0000-0000-0000AB030000}"/>
    <hyperlink ref="F947" r:id="rId941" xr:uid="{00000000-0004-0000-0000-0000AC030000}"/>
    <hyperlink ref="F948" r:id="rId942" xr:uid="{00000000-0004-0000-0000-0000AD030000}"/>
    <hyperlink ref="F949" r:id="rId943" xr:uid="{00000000-0004-0000-0000-0000AE030000}"/>
    <hyperlink ref="F950" r:id="rId944" xr:uid="{00000000-0004-0000-0000-0000AF030000}"/>
    <hyperlink ref="F951" r:id="rId945" xr:uid="{00000000-0004-0000-0000-0000B0030000}"/>
    <hyperlink ref="F952" r:id="rId946" xr:uid="{00000000-0004-0000-0000-0000B1030000}"/>
    <hyperlink ref="F953" r:id="rId947" xr:uid="{00000000-0004-0000-0000-0000B2030000}"/>
    <hyperlink ref="F954" r:id="rId948" xr:uid="{00000000-0004-0000-0000-0000B3030000}"/>
    <hyperlink ref="F955" r:id="rId949" xr:uid="{00000000-0004-0000-0000-0000B4030000}"/>
    <hyperlink ref="F956" r:id="rId950" xr:uid="{00000000-0004-0000-0000-0000B5030000}"/>
    <hyperlink ref="F957" r:id="rId951" xr:uid="{00000000-0004-0000-0000-0000B6030000}"/>
    <hyperlink ref="F958" r:id="rId952" xr:uid="{00000000-0004-0000-0000-0000B7030000}"/>
    <hyperlink ref="F959" r:id="rId953" xr:uid="{00000000-0004-0000-0000-0000B8030000}"/>
    <hyperlink ref="F960" r:id="rId954" xr:uid="{00000000-0004-0000-0000-0000B9030000}"/>
    <hyperlink ref="F961" r:id="rId955" xr:uid="{00000000-0004-0000-0000-0000BA030000}"/>
    <hyperlink ref="F962" r:id="rId956" xr:uid="{00000000-0004-0000-0000-0000BB030000}"/>
    <hyperlink ref="F963" r:id="rId957" xr:uid="{00000000-0004-0000-0000-0000BC030000}"/>
    <hyperlink ref="F964" r:id="rId958" xr:uid="{00000000-0004-0000-0000-0000BD030000}"/>
    <hyperlink ref="F965" r:id="rId959" xr:uid="{00000000-0004-0000-0000-0000BE030000}"/>
    <hyperlink ref="F966" r:id="rId960" xr:uid="{00000000-0004-0000-0000-0000BF030000}"/>
    <hyperlink ref="F967" r:id="rId961" xr:uid="{00000000-0004-0000-0000-0000C0030000}"/>
    <hyperlink ref="F968" r:id="rId962" xr:uid="{00000000-0004-0000-0000-0000C1030000}"/>
    <hyperlink ref="F969" r:id="rId963" xr:uid="{00000000-0004-0000-0000-0000C2030000}"/>
    <hyperlink ref="F970" r:id="rId964" xr:uid="{00000000-0004-0000-0000-0000C3030000}"/>
    <hyperlink ref="F971" r:id="rId965" xr:uid="{00000000-0004-0000-0000-0000C4030000}"/>
    <hyperlink ref="F972" r:id="rId966" xr:uid="{00000000-0004-0000-0000-0000C5030000}"/>
    <hyperlink ref="F973" r:id="rId967" xr:uid="{00000000-0004-0000-0000-0000C6030000}"/>
    <hyperlink ref="F974" r:id="rId968" xr:uid="{00000000-0004-0000-0000-0000C7030000}"/>
    <hyperlink ref="F975" r:id="rId969" xr:uid="{00000000-0004-0000-0000-0000C8030000}"/>
    <hyperlink ref="F976" r:id="rId970" xr:uid="{00000000-0004-0000-0000-0000C9030000}"/>
    <hyperlink ref="F977" r:id="rId971" xr:uid="{00000000-0004-0000-0000-0000CA030000}"/>
    <hyperlink ref="F978" r:id="rId972" xr:uid="{00000000-0004-0000-0000-0000CB030000}"/>
    <hyperlink ref="F979" r:id="rId973" xr:uid="{00000000-0004-0000-0000-0000CC030000}"/>
    <hyperlink ref="F980" r:id="rId974" xr:uid="{00000000-0004-0000-0000-0000CD030000}"/>
    <hyperlink ref="F981" r:id="rId975" xr:uid="{00000000-0004-0000-0000-0000CE030000}"/>
    <hyperlink ref="F982" r:id="rId976" xr:uid="{00000000-0004-0000-0000-0000CF030000}"/>
    <hyperlink ref="F983" r:id="rId977" xr:uid="{00000000-0004-0000-0000-0000D0030000}"/>
    <hyperlink ref="F984" r:id="rId978" xr:uid="{00000000-0004-0000-0000-0000D1030000}"/>
    <hyperlink ref="F985" r:id="rId979" xr:uid="{00000000-0004-0000-0000-0000D2030000}"/>
    <hyperlink ref="F986" r:id="rId980" xr:uid="{00000000-0004-0000-0000-0000D3030000}"/>
    <hyperlink ref="F987" r:id="rId981" xr:uid="{00000000-0004-0000-0000-0000D4030000}"/>
    <hyperlink ref="F988" r:id="rId982" xr:uid="{00000000-0004-0000-0000-0000D5030000}"/>
    <hyperlink ref="F989" r:id="rId983" xr:uid="{00000000-0004-0000-0000-0000D6030000}"/>
    <hyperlink ref="F990" r:id="rId984" xr:uid="{00000000-0004-0000-0000-0000D7030000}"/>
    <hyperlink ref="F991" r:id="rId985" xr:uid="{00000000-0004-0000-0000-0000D8030000}"/>
    <hyperlink ref="F992" r:id="rId986" xr:uid="{00000000-0004-0000-0000-0000D9030000}"/>
    <hyperlink ref="F993" r:id="rId987" xr:uid="{00000000-0004-0000-0000-0000DA030000}"/>
    <hyperlink ref="F994" r:id="rId988" xr:uid="{00000000-0004-0000-0000-0000DB030000}"/>
    <hyperlink ref="F995" r:id="rId989" xr:uid="{00000000-0004-0000-0000-0000DC030000}"/>
    <hyperlink ref="F996" r:id="rId990" xr:uid="{00000000-0004-0000-0000-0000DD030000}"/>
    <hyperlink ref="F997" r:id="rId991" xr:uid="{00000000-0004-0000-0000-0000DE030000}"/>
    <hyperlink ref="F998" r:id="rId992" xr:uid="{00000000-0004-0000-0000-0000DF030000}"/>
    <hyperlink ref="F999" r:id="rId993" xr:uid="{00000000-0004-0000-0000-0000E0030000}"/>
    <hyperlink ref="F1000" r:id="rId994" xr:uid="{00000000-0004-0000-0000-0000E1030000}"/>
    <hyperlink ref="F1001" r:id="rId995" xr:uid="{00000000-0004-0000-0000-0000E2030000}"/>
    <hyperlink ref="F1002" r:id="rId996" xr:uid="{00000000-0004-0000-0000-0000E3030000}"/>
    <hyperlink ref="F1003" r:id="rId997" xr:uid="{00000000-0004-0000-0000-0000E4030000}"/>
    <hyperlink ref="F1004" r:id="rId998" xr:uid="{00000000-0004-0000-0000-0000E5030000}"/>
    <hyperlink ref="F1005" r:id="rId999" xr:uid="{00000000-0004-0000-0000-0000E6030000}"/>
    <hyperlink ref="F1006" r:id="rId1000" xr:uid="{00000000-0004-0000-0000-0000E7030000}"/>
    <hyperlink ref="F1007" r:id="rId1001" xr:uid="{00000000-0004-0000-0000-0000E8030000}"/>
    <hyperlink ref="F1008" r:id="rId1002" xr:uid="{00000000-0004-0000-0000-0000E9030000}"/>
    <hyperlink ref="F1009" r:id="rId1003" xr:uid="{00000000-0004-0000-0000-0000EA030000}"/>
    <hyperlink ref="F1010" r:id="rId1004" xr:uid="{00000000-0004-0000-0000-0000EB030000}"/>
    <hyperlink ref="F1011" r:id="rId1005" xr:uid="{00000000-0004-0000-0000-0000EC030000}"/>
    <hyperlink ref="F1012" r:id="rId1006" xr:uid="{00000000-0004-0000-0000-0000ED030000}"/>
    <hyperlink ref="F1013" r:id="rId1007" xr:uid="{00000000-0004-0000-0000-0000EE030000}"/>
    <hyperlink ref="F1014" r:id="rId1008" xr:uid="{00000000-0004-0000-0000-0000EF030000}"/>
    <hyperlink ref="F1015" r:id="rId1009" xr:uid="{00000000-0004-0000-0000-0000F0030000}"/>
    <hyperlink ref="F1016" r:id="rId1010" xr:uid="{00000000-0004-0000-0000-0000F1030000}"/>
    <hyperlink ref="F1017" r:id="rId1011" xr:uid="{00000000-0004-0000-0000-0000F2030000}"/>
    <hyperlink ref="F1018" r:id="rId1012" xr:uid="{00000000-0004-0000-0000-0000F3030000}"/>
    <hyperlink ref="F1019" r:id="rId1013" xr:uid="{00000000-0004-0000-0000-0000F4030000}"/>
    <hyperlink ref="F1020" r:id="rId1014" xr:uid="{00000000-0004-0000-0000-0000F5030000}"/>
    <hyperlink ref="F1021" r:id="rId1015" xr:uid="{00000000-0004-0000-0000-0000F6030000}"/>
    <hyperlink ref="F1022" r:id="rId1016" xr:uid="{00000000-0004-0000-0000-0000F7030000}"/>
    <hyperlink ref="F1023" r:id="rId1017" xr:uid="{00000000-0004-0000-0000-0000F8030000}"/>
    <hyperlink ref="F1024" r:id="rId1018" xr:uid="{00000000-0004-0000-0000-0000F9030000}"/>
    <hyperlink ref="F1025" r:id="rId1019" xr:uid="{00000000-0004-0000-0000-0000FA030000}"/>
    <hyperlink ref="F1026" r:id="rId1020" xr:uid="{00000000-0004-0000-0000-0000FB030000}"/>
    <hyperlink ref="F1027" r:id="rId1021" xr:uid="{00000000-0004-0000-0000-0000FC030000}"/>
    <hyperlink ref="F1028" r:id="rId1022" xr:uid="{00000000-0004-0000-0000-0000FD030000}"/>
    <hyperlink ref="F1029" r:id="rId1023" xr:uid="{00000000-0004-0000-0000-0000FE030000}"/>
    <hyperlink ref="F1030" r:id="rId1024" xr:uid="{00000000-0004-0000-0000-0000FF030000}"/>
    <hyperlink ref="F1031" r:id="rId1025" xr:uid="{00000000-0004-0000-0000-000000040000}"/>
    <hyperlink ref="F1032" r:id="rId1026" xr:uid="{00000000-0004-0000-0000-000001040000}"/>
    <hyperlink ref="F1033" r:id="rId1027" xr:uid="{00000000-0004-0000-0000-000002040000}"/>
    <hyperlink ref="F1034" r:id="rId1028" xr:uid="{00000000-0004-0000-0000-000003040000}"/>
    <hyperlink ref="F1035" r:id="rId1029" xr:uid="{00000000-0004-0000-0000-000004040000}"/>
    <hyperlink ref="F1036" r:id="rId1030" xr:uid="{00000000-0004-0000-0000-000005040000}"/>
    <hyperlink ref="F1037" r:id="rId1031" xr:uid="{00000000-0004-0000-0000-000006040000}"/>
    <hyperlink ref="F1039" r:id="rId1032" xr:uid="{00000000-0004-0000-0000-000007040000}"/>
    <hyperlink ref="F1040" r:id="rId1033" xr:uid="{00000000-0004-0000-0000-000008040000}"/>
    <hyperlink ref="F1041" r:id="rId1034" xr:uid="{00000000-0004-0000-0000-000009040000}"/>
    <hyperlink ref="F1042" r:id="rId1035" xr:uid="{00000000-0004-0000-0000-00000A040000}"/>
    <hyperlink ref="F1043" r:id="rId1036" xr:uid="{00000000-0004-0000-0000-00000B040000}"/>
    <hyperlink ref="F1044" r:id="rId1037" xr:uid="{00000000-0004-0000-0000-00000C040000}"/>
    <hyperlink ref="F1045" r:id="rId1038" xr:uid="{00000000-0004-0000-0000-00000D040000}"/>
    <hyperlink ref="F1047" r:id="rId1039" xr:uid="{00000000-0004-0000-0000-00000E040000}"/>
    <hyperlink ref="F1048" r:id="rId1040" xr:uid="{00000000-0004-0000-0000-00000F040000}"/>
    <hyperlink ref="F1049" r:id="rId1041" xr:uid="{00000000-0004-0000-0000-000010040000}"/>
    <hyperlink ref="F1050" r:id="rId1042" xr:uid="{00000000-0004-0000-0000-000011040000}"/>
    <hyperlink ref="F1051" r:id="rId1043" xr:uid="{00000000-0004-0000-0000-000012040000}"/>
    <hyperlink ref="F1052" r:id="rId1044" xr:uid="{00000000-0004-0000-0000-000013040000}"/>
    <hyperlink ref="F1053" r:id="rId1045" xr:uid="{00000000-0004-0000-0000-000014040000}"/>
    <hyperlink ref="F1056" r:id="rId1046" xr:uid="{00000000-0004-0000-0000-000015040000}"/>
    <hyperlink ref="F1057" r:id="rId1047" xr:uid="{00000000-0004-0000-0000-000016040000}"/>
    <hyperlink ref="F1058" r:id="rId1048" xr:uid="{00000000-0004-0000-0000-000017040000}"/>
    <hyperlink ref="F1059" r:id="rId1049" xr:uid="{00000000-0004-0000-0000-000018040000}"/>
    <hyperlink ref="F1060" r:id="rId1050" xr:uid="{00000000-0004-0000-0000-000019040000}"/>
    <hyperlink ref="F1061" r:id="rId1051" xr:uid="{00000000-0004-0000-0000-00001A040000}"/>
    <hyperlink ref="F1062" r:id="rId1052" xr:uid="{00000000-0004-0000-0000-00001B040000}"/>
    <hyperlink ref="F1063" r:id="rId1053" xr:uid="{00000000-0004-0000-0000-00001C040000}"/>
    <hyperlink ref="F1064" r:id="rId1054" xr:uid="{00000000-0004-0000-0000-00001D040000}"/>
    <hyperlink ref="F1065" r:id="rId1055" xr:uid="{00000000-0004-0000-0000-00001E040000}"/>
    <hyperlink ref="F1066" r:id="rId1056" xr:uid="{00000000-0004-0000-0000-00001F040000}"/>
    <hyperlink ref="F1067" r:id="rId1057" xr:uid="{00000000-0004-0000-0000-000020040000}"/>
    <hyperlink ref="F1068" r:id="rId1058" xr:uid="{00000000-0004-0000-0000-000021040000}"/>
    <hyperlink ref="F1069" r:id="rId1059" xr:uid="{00000000-0004-0000-0000-000022040000}"/>
    <hyperlink ref="F1070" r:id="rId1060" xr:uid="{00000000-0004-0000-0000-000023040000}"/>
    <hyperlink ref="F1071" r:id="rId1061" xr:uid="{00000000-0004-0000-0000-000024040000}"/>
    <hyperlink ref="F1072" r:id="rId1062" xr:uid="{00000000-0004-0000-0000-000025040000}"/>
    <hyperlink ref="F1073" r:id="rId1063" xr:uid="{00000000-0004-0000-0000-000026040000}"/>
    <hyperlink ref="F1074" r:id="rId1064" xr:uid="{00000000-0004-0000-0000-000027040000}"/>
    <hyperlink ref="F1075" r:id="rId1065" xr:uid="{00000000-0004-0000-0000-000028040000}"/>
    <hyperlink ref="F1076" r:id="rId1066" xr:uid="{00000000-0004-0000-0000-000029040000}"/>
    <hyperlink ref="F1077" r:id="rId1067" xr:uid="{00000000-0004-0000-0000-00002A040000}"/>
    <hyperlink ref="F1078" r:id="rId1068" xr:uid="{00000000-0004-0000-0000-00002B040000}"/>
    <hyperlink ref="F1079" r:id="rId1069" xr:uid="{00000000-0004-0000-0000-00002C040000}"/>
    <hyperlink ref="F1080" r:id="rId1070" xr:uid="{00000000-0004-0000-0000-00002D040000}"/>
    <hyperlink ref="F1081" r:id="rId1071" xr:uid="{00000000-0004-0000-0000-00002E040000}"/>
    <hyperlink ref="F1082" r:id="rId1072" xr:uid="{00000000-0004-0000-0000-00002F040000}"/>
    <hyperlink ref="F1083" r:id="rId1073" xr:uid="{00000000-0004-0000-0000-000030040000}"/>
    <hyperlink ref="F1084" r:id="rId1074" xr:uid="{00000000-0004-0000-0000-000031040000}"/>
    <hyperlink ref="F1085" r:id="rId1075" xr:uid="{00000000-0004-0000-0000-000032040000}"/>
    <hyperlink ref="F1086" r:id="rId1076" xr:uid="{00000000-0004-0000-0000-000033040000}"/>
    <hyperlink ref="F1087" r:id="rId1077" xr:uid="{00000000-0004-0000-0000-000034040000}"/>
    <hyperlink ref="F1088" r:id="rId1078" xr:uid="{00000000-0004-0000-0000-000035040000}"/>
    <hyperlink ref="F1089" r:id="rId1079" xr:uid="{00000000-0004-0000-0000-000036040000}"/>
    <hyperlink ref="F1090" r:id="rId1080" xr:uid="{00000000-0004-0000-0000-000037040000}"/>
    <hyperlink ref="F1091" r:id="rId1081" xr:uid="{00000000-0004-0000-0000-000038040000}"/>
    <hyperlink ref="F1092" r:id="rId1082" xr:uid="{00000000-0004-0000-0000-000039040000}"/>
    <hyperlink ref="F1093" r:id="rId1083" xr:uid="{00000000-0004-0000-0000-00003A040000}"/>
    <hyperlink ref="F1094" r:id="rId1084" xr:uid="{00000000-0004-0000-0000-00003B040000}"/>
    <hyperlink ref="F1095" r:id="rId1085" xr:uid="{00000000-0004-0000-0000-00003C040000}"/>
    <hyperlink ref="F1096" r:id="rId1086" xr:uid="{00000000-0004-0000-0000-00003D040000}"/>
    <hyperlink ref="F1097" r:id="rId1087" xr:uid="{00000000-0004-0000-0000-00003E040000}"/>
    <hyperlink ref="F1098" r:id="rId1088" xr:uid="{00000000-0004-0000-0000-00003F040000}"/>
    <hyperlink ref="F1099" r:id="rId1089" xr:uid="{00000000-0004-0000-0000-000040040000}"/>
    <hyperlink ref="F1100" r:id="rId1090" xr:uid="{00000000-0004-0000-0000-000041040000}"/>
    <hyperlink ref="F1101" r:id="rId1091" xr:uid="{00000000-0004-0000-0000-000042040000}"/>
    <hyperlink ref="F1102" r:id="rId1092" xr:uid="{00000000-0004-0000-0000-000043040000}"/>
    <hyperlink ref="F1103" r:id="rId1093" xr:uid="{00000000-0004-0000-0000-000044040000}"/>
    <hyperlink ref="F1104" r:id="rId1094" xr:uid="{00000000-0004-0000-0000-000045040000}"/>
    <hyperlink ref="F1105" r:id="rId1095" xr:uid="{00000000-0004-0000-0000-000046040000}"/>
    <hyperlink ref="F1106" r:id="rId1096" xr:uid="{00000000-0004-0000-0000-000047040000}"/>
    <hyperlink ref="F1107" r:id="rId1097" xr:uid="{00000000-0004-0000-0000-000048040000}"/>
    <hyperlink ref="F1108" r:id="rId1098" xr:uid="{00000000-0004-0000-0000-000049040000}"/>
    <hyperlink ref="F1109" r:id="rId1099" xr:uid="{00000000-0004-0000-0000-00004A040000}"/>
    <hyperlink ref="F1110" r:id="rId1100" xr:uid="{00000000-0004-0000-0000-00004B040000}"/>
    <hyperlink ref="F1111" r:id="rId1101" xr:uid="{00000000-0004-0000-0000-00004C040000}"/>
    <hyperlink ref="F1112" r:id="rId1102" xr:uid="{00000000-0004-0000-0000-00004D040000}"/>
    <hyperlink ref="F1113" r:id="rId1103" xr:uid="{00000000-0004-0000-0000-00004E040000}"/>
    <hyperlink ref="F1114" r:id="rId1104" xr:uid="{00000000-0004-0000-0000-00004F040000}"/>
    <hyperlink ref="F1115" r:id="rId1105" xr:uid="{00000000-0004-0000-0000-000050040000}"/>
    <hyperlink ref="F1116" r:id="rId1106" xr:uid="{00000000-0004-0000-0000-000051040000}"/>
    <hyperlink ref="F1117" r:id="rId1107" xr:uid="{00000000-0004-0000-0000-000052040000}"/>
    <hyperlink ref="F1118" r:id="rId1108" xr:uid="{00000000-0004-0000-0000-000053040000}"/>
    <hyperlink ref="F1119" r:id="rId1109" xr:uid="{00000000-0004-0000-0000-000054040000}"/>
    <hyperlink ref="F1120" r:id="rId1110" xr:uid="{00000000-0004-0000-0000-000055040000}"/>
    <hyperlink ref="F1121" r:id="rId1111" xr:uid="{00000000-0004-0000-0000-000056040000}"/>
    <hyperlink ref="F1122" r:id="rId1112" xr:uid="{00000000-0004-0000-0000-000057040000}"/>
    <hyperlink ref="F1123" r:id="rId1113" xr:uid="{00000000-0004-0000-0000-000058040000}"/>
    <hyperlink ref="F1124" r:id="rId1114" xr:uid="{00000000-0004-0000-0000-000059040000}"/>
    <hyperlink ref="F1125" r:id="rId1115" xr:uid="{00000000-0004-0000-0000-00005A040000}"/>
    <hyperlink ref="F1126" r:id="rId1116" xr:uid="{00000000-0004-0000-0000-00005B040000}"/>
    <hyperlink ref="F1127" r:id="rId1117" xr:uid="{00000000-0004-0000-0000-00005C040000}"/>
    <hyperlink ref="F1128" r:id="rId1118" xr:uid="{00000000-0004-0000-0000-00005D040000}"/>
    <hyperlink ref="F1129" r:id="rId1119" xr:uid="{00000000-0004-0000-0000-00005E040000}"/>
    <hyperlink ref="F1130" r:id="rId1120" xr:uid="{00000000-0004-0000-0000-00005F040000}"/>
    <hyperlink ref="F1131" r:id="rId1121" xr:uid="{00000000-0004-0000-0000-000060040000}"/>
    <hyperlink ref="F1132" r:id="rId1122" xr:uid="{00000000-0004-0000-0000-000061040000}"/>
    <hyperlink ref="F1133" r:id="rId1123" xr:uid="{00000000-0004-0000-0000-000062040000}"/>
    <hyperlink ref="F1134" r:id="rId1124" xr:uid="{00000000-0004-0000-0000-000063040000}"/>
    <hyperlink ref="F1135" r:id="rId1125" xr:uid="{00000000-0004-0000-0000-000064040000}"/>
    <hyperlink ref="F1136" r:id="rId1126" xr:uid="{00000000-0004-0000-0000-000065040000}"/>
    <hyperlink ref="F1137" r:id="rId1127" xr:uid="{00000000-0004-0000-0000-000066040000}"/>
    <hyperlink ref="F1138" r:id="rId1128" xr:uid="{00000000-0004-0000-0000-000067040000}"/>
    <hyperlink ref="F1139" r:id="rId1129" xr:uid="{00000000-0004-0000-0000-000068040000}"/>
    <hyperlink ref="F1140" r:id="rId1130" xr:uid="{00000000-0004-0000-0000-000069040000}"/>
    <hyperlink ref="F1141" r:id="rId1131" xr:uid="{00000000-0004-0000-0000-00006A040000}"/>
    <hyperlink ref="F1142" r:id="rId1132" xr:uid="{00000000-0004-0000-0000-00006B040000}"/>
    <hyperlink ref="F1143" r:id="rId1133" xr:uid="{00000000-0004-0000-0000-00006C040000}"/>
    <hyperlink ref="F1144" r:id="rId1134" xr:uid="{00000000-0004-0000-0000-00006D040000}"/>
    <hyperlink ref="F1145" r:id="rId1135" xr:uid="{00000000-0004-0000-0000-00006E040000}"/>
    <hyperlink ref="F1146" r:id="rId1136" xr:uid="{00000000-0004-0000-0000-00006F040000}"/>
    <hyperlink ref="F1147" r:id="rId1137" xr:uid="{00000000-0004-0000-0000-000070040000}"/>
    <hyperlink ref="F1148" r:id="rId1138" xr:uid="{00000000-0004-0000-0000-000071040000}"/>
    <hyperlink ref="F1149" r:id="rId1139" xr:uid="{00000000-0004-0000-0000-000072040000}"/>
    <hyperlink ref="F1150" r:id="rId1140" xr:uid="{00000000-0004-0000-0000-000073040000}"/>
    <hyperlink ref="F1151" r:id="rId1141" xr:uid="{00000000-0004-0000-0000-000074040000}"/>
    <hyperlink ref="F1152" r:id="rId1142" xr:uid="{00000000-0004-0000-0000-000075040000}"/>
    <hyperlink ref="F1153" r:id="rId1143" xr:uid="{00000000-0004-0000-0000-000076040000}"/>
    <hyperlink ref="F1154" r:id="rId1144" xr:uid="{00000000-0004-0000-0000-000077040000}"/>
    <hyperlink ref="F1155" r:id="rId1145" xr:uid="{00000000-0004-0000-0000-000078040000}"/>
    <hyperlink ref="F1156" r:id="rId1146" xr:uid="{00000000-0004-0000-0000-000079040000}"/>
    <hyperlink ref="F1157" r:id="rId1147" xr:uid="{00000000-0004-0000-0000-00007A040000}"/>
    <hyperlink ref="F1158" r:id="rId1148" xr:uid="{00000000-0004-0000-0000-00007B040000}"/>
    <hyperlink ref="F1159" r:id="rId1149" xr:uid="{00000000-0004-0000-0000-00007C040000}"/>
    <hyperlink ref="F1160" r:id="rId1150" xr:uid="{00000000-0004-0000-0000-00007D040000}"/>
    <hyperlink ref="F1161" r:id="rId1151" xr:uid="{00000000-0004-0000-0000-00007E040000}"/>
    <hyperlink ref="F1162" r:id="rId1152" xr:uid="{00000000-0004-0000-0000-00007F040000}"/>
    <hyperlink ref="F1163" r:id="rId1153" xr:uid="{00000000-0004-0000-0000-000080040000}"/>
    <hyperlink ref="F1164" r:id="rId1154" xr:uid="{00000000-0004-0000-0000-000081040000}"/>
    <hyperlink ref="F1165" r:id="rId1155" xr:uid="{00000000-0004-0000-0000-000082040000}"/>
    <hyperlink ref="F1166" r:id="rId1156" xr:uid="{00000000-0004-0000-0000-000083040000}"/>
    <hyperlink ref="F1167" r:id="rId1157" xr:uid="{00000000-0004-0000-0000-000084040000}"/>
    <hyperlink ref="F1168" r:id="rId1158" xr:uid="{00000000-0004-0000-0000-000085040000}"/>
    <hyperlink ref="F1169" r:id="rId1159" xr:uid="{00000000-0004-0000-0000-000086040000}"/>
    <hyperlink ref="F1170" r:id="rId1160" xr:uid="{00000000-0004-0000-0000-000087040000}"/>
    <hyperlink ref="F1171" r:id="rId1161" xr:uid="{00000000-0004-0000-0000-000088040000}"/>
    <hyperlink ref="F1172" r:id="rId1162" xr:uid="{00000000-0004-0000-0000-000089040000}"/>
    <hyperlink ref="F1173" r:id="rId1163" xr:uid="{00000000-0004-0000-0000-00008A040000}"/>
    <hyperlink ref="F1174" r:id="rId1164" xr:uid="{00000000-0004-0000-0000-00008B040000}"/>
    <hyperlink ref="F1175" r:id="rId1165" xr:uid="{00000000-0004-0000-0000-00008C040000}"/>
    <hyperlink ref="F1176" r:id="rId1166" xr:uid="{00000000-0004-0000-0000-00008D040000}"/>
    <hyperlink ref="F1177" r:id="rId1167" xr:uid="{00000000-0004-0000-0000-00008E040000}"/>
    <hyperlink ref="F1178" r:id="rId1168" xr:uid="{00000000-0004-0000-0000-00008F040000}"/>
    <hyperlink ref="F1179" r:id="rId1169" xr:uid="{00000000-0004-0000-0000-000090040000}"/>
    <hyperlink ref="F1180" r:id="rId1170" xr:uid="{00000000-0004-0000-0000-000091040000}"/>
    <hyperlink ref="F1181" r:id="rId1171" xr:uid="{00000000-0004-0000-0000-000092040000}"/>
    <hyperlink ref="F1182" r:id="rId1172" xr:uid="{00000000-0004-0000-0000-00009304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server11</dc:creator>
  <cp:lastModifiedBy>Kors161</cp:lastModifiedBy>
  <dcterms:created xsi:type="dcterms:W3CDTF">2026-04-30T17:54:48Z</dcterms:created>
  <dcterms:modified xsi:type="dcterms:W3CDTF">2026-05-04T07:52:25Z</dcterms:modified>
</cp:coreProperties>
</file>